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\users\Karyagina\Reprints\My papers\Grishin_2018_Biochemistry\Last_version\"/>
    </mc:Choice>
  </mc:AlternateContent>
  <bookViews>
    <workbookView xWindow="0" yWindow="0" windowWidth="24000" windowHeight="9735" activeTab="6"/>
  </bookViews>
  <sheets>
    <sheet name="Рис 1А" sheetId="1" r:id="rId1"/>
    <sheet name="Рис 1Б" sheetId="2" r:id="rId2"/>
    <sheet name="Рис 1В" sheetId="3" r:id="rId3"/>
    <sheet name="Рис 1Г" sheetId="4" r:id="rId4"/>
    <sheet name="monosaccharides" sheetId="7" r:id="rId5"/>
    <sheet name="Рис 2Б" sheetId="5" r:id="rId6"/>
    <sheet name="Рис 3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  <c r="N24" i="1"/>
  <c r="O24" i="1"/>
  <c r="P24" i="1"/>
  <c r="M25" i="1"/>
  <c r="N25" i="1"/>
  <c r="O25" i="1"/>
  <c r="P25" i="1"/>
  <c r="P26" i="1"/>
  <c r="N30" i="1" s="1"/>
  <c r="Q26" i="1"/>
  <c r="P30" i="1"/>
  <c r="P31" i="1" s="1"/>
  <c r="R31" i="1" s="1"/>
  <c r="R30" i="1"/>
  <c r="R33" i="1"/>
  <c r="N35" i="1"/>
  <c r="N36" i="1" s="1"/>
  <c r="O35" i="1"/>
  <c r="O36" i="1" s="1"/>
  <c r="P35" i="1"/>
  <c r="R35" i="1" s="1"/>
  <c r="N31" i="1" l="1"/>
  <c r="T31" i="1" s="1"/>
  <c r="O30" i="1"/>
  <c r="Q36" i="1"/>
  <c r="U36" i="1" s="1"/>
  <c r="P36" i="1"/>
  <c r="R36" i="1" s="1"/>
  <c r="V35" i="1"/>
  <c r="V36" i="1" s="1"/>
  <c r="Q35" i="1"/>
  <c r="U35" i="1" s="1"/>
  <c r="Q90" i="6"/>
  <c r="P90" i="6"/>
  <c r="Q89" i="6"/>
  <c r="Q87" i="6"/>
  <c r="P87" i="6"/>
  <c r="Q84" i="6"/>
  <c r="P84" i="6"/>
  <c r="Q83" i="6"/>
  <c r="P83" i="6"/>
  <c r="Q82" i="6"/>
  <c r="P82" i="6"/>
  <c r="P81" i="6"/>
  <c r="P80" i="6"/>
  <c r="P78" i="6"/>
  <c r="P77" i="6"/>
  <c r="Q73" i="6"/>
  <c r="P73" i="6"/>
  <c r="Q71" i="6"/>
  <c r="P71" i="6"/>
  <c r="Q70" i="6"/>
  <c r="P70" i="6"/>
  <c r="Q69" i="6"/>
  <c r="P69" i="6"/>
  <c r="J90" i="6"/>
  <c r="I90" i="6"/>
  <c r="J89" i="6"/>
  <c r="J87" i="6"/>
  <c r="I87" i="6"/>
  <c r="J84" i="6"/>
  <c r="I84" i="6"/>
  <c r="J83" i="6"/>
  <c r="I83" i="6"/>
  <c r="J82" i="6"/>
  <c r="I82" i="6"/>
  <c r="I81" i="6"/>
  <c r="I80" i="6"/>
  <c r="I78" i="6"/>
  <c r="I77" i="6"/>
  <c r="J73" i="6"/>
  <c r="I73" i="6"/>
  <c r="J71" i="6"/>
  <c r="I71" i="6"/>
  <c r="J70" i="6"/>
  <c r="I70" i="6"/>
  <c r="J69" i="6"/>
  <c r="I69" i="6"/>
  <c r="D90" i="6"/>
  <c r="C90" i="6"/>
  <c r="D89" i="6"/>
  <c r="D87" i="6"/>
  <c r="C87" i="6"/>
  <c r="D84" i="6"/>
  <c r="C84" i="6"/>
  <c r="D83" i="6"/>
  <c r="C83" i="6"/>
  <c r="D82" i="6"/>
  <c r="C82" i="6"/>
  <c r="C81" i="6"/>
  <c r="C80" i="6"/>
  <c r="C78" i="6"/>
  <c r="C77" i="6"/>
  <c r="D73" i="6"/>
  <c r="C73" i="6"/>
  <c r="D71" i="6"/>
  <c r="C71" i="6"/>
  <c r="D70" i="6"/>
  <c r="C70" i="6"/>
  <c r="D69" i="6"/>
  <c r="C69" i="6"/>
  <c r="X81" i="5"/>
  <c r="W81" i="5"/>
  <c r="V81" i="5"/>
  <c r="U81" i="5"/>
  <c r="T81" i="5"/>
  <c r="S81" i="5"/>
  <c r="Q81" i="5"/>
  <c r="R81" i="5"/>
  <c r="P81" i="5"/>
  <c r="X80" i="5"/>
  <c r="W80" i="5"/>
  <c r="T80" i="5"/>
  <c r="S80" i="5"/>
  <c r="R80" i="5"/>
  <c r="Q80" i="5"/>
  <c r="P80" i="5"/>
  <c r="T78" i="5"/>
  <c r="X76" i="5"/>
  <c r="W76" i="5"/>
  <c r="V76" i="5"/>
  <c r="U76" i="5"/>
  <c r="T76" i="5"/>
  <c r="S76" i="5"/>
  <c r="Q76" i="5"/>
  <c r="R76" i="5"/>
  <c r="P76" i="5"/>
  <c r="X75" i="5"/>
  <c r="W75" i="5"/>
  <c r="T75" i="5"/>
  <c r="S75" i="5"/>
  <c r="R75" i="5"/>
  <c r="Q75" i="5"/>
  <c r="P75" i="5"/>
  <c r="S71" i="5"/>
  <c r="R71" i="5"/>
  <c r="R70" i="5"/>
  <c r="Q70" i="5"/>
  <c r="P70" i="5"/>
  <c r="R69" i="5"/>
  <c r="Q69" i="5"/>
  <c r="P69" i="5"/>
  <c r="O70" i="5"/>
  <c r="O69" i="5"/>
  <c r="AI62" i="5"/>
  <c r="AH62" i="5"/>
  <c r="AG62" i="5"/>
  <c r="AF62" i="5"/>
  <c r="AE62" i="5"/>
  <c r="AD62" i="5"/>
  <c r="AB62" i="5"/>
  <c r="AC62" i="5"/>
  <c r="AA62" i="5"/>
  <c r="AI61" i="5"/>
  <c r="AH61" i="5"/>
  <c r="AE61" i="5"/>
  <c r="AD61" i="5"/>
  <c r="AC61" i="5"/>
  <c r="AB61" i="5"/>
  <c r="AA61" i="5"/>
  <c r="AE59" i="5"/>
  <c r="AI57" i="5"/>
  <c r="AH57" i="5"/>
  <c r="AG57" i="5"/>
  <c r="AF57" i="5"/>
  <c r="AE57" i="5"/>
  <c r="AD57" i="5"/>
  <c r="AB57" i="5"/>
  <c r="AC57" i="5"/>
  <c r="AA57" i="5"/>
  <c r="AI56" i="5"/>
  <c r="AH56" i="5"/>
  <c r="AE56" i="5"/>
  <c r="AD56" i="5"/>
  <c r="AC56" i="5"/>
  <c r="AB56" i="5"/>
  <c r="AA56" i="5"/>
  <c r="AD52" i="5"/>
  <c r="AC52" i="5"/>
  <c r="AC51" i="5"/>
  <c r="AB51" i="5"/>
  <c r="AA51" i="5"/>
  <c r="AC50" i="5"/>
  <c r="AB50" i="5"/>
  <c r="AA50" i="5"/>
  <c r="Z51" i="5"/>
  <c r="Z50" i="5"/>
  <c r="X62" i="5"/>
  <c r="W62" i="5"/>
  <c r="V62" i="5"/>
  <c r="U62" i="5"/>
  <c r="T62" i="5"/>
  <c r="S62" i="5"/>
  <c r="Q62" i="5"/>
  <c r="R62" i="5"/>
  <c r="P62" i="5"/>
  <c r="X61" i="5"/>
  <c r="W61" i="5"/>
  <c r="T61" i="5"/>
  <c r="S61" i="5"/>
  <c r="R61" i="5"/>
  <c r="Q61" i="5"/>
  <c r="P61" i="5"/>
  <c r="T59" i="5"/>
  <c r="X57" i="5"/>
  <c r="W57" i="5"/>
  <c r="V57" i="5"/>
  <c r="U57" i="5"/>
  <c r="T57" i="5"/>
  <c r="S57" i="5"/>
  <c r="Q57" i="5"/>
  <c r="R57" i="5"/>
  <c r="P57" i="5"/>
  <c r="X56" i="5"/>
  <c r="W56" i="5"/>
  <c r="T56" i="5"/>
  <c r="S56" i="5"/>
  <c r="R56" i="5"/>
  <c r="Q56" i="5"/>
  <c r="P56" i="5"/>
  <c r="S52" i="5"/>
  <c r="R52" i="5"/>
  <c r="R51" i="5"/>
  <c r="Q51" i="5"/>
  <c r="P51" i="5"/>
  <c r="R50" i="5"/>
  <c r="Q50" i="5"/>
  <c r="P50" i="5"/>
  <c r="O51" i="5"/>
  <c r="O50" i="5"/>
  <c r="AI43" i="5"/>
  <c r="AH43" i="5"/>
  <c r="AG43" i="5"/>
  <c r="AF43" i="5"/>
  <c r="AE43" i="5"/>
  <c r="AD43" i="5"/>
  <c r="AB43" i="5"/>
  <c r="AC43" i="5"/>
  <c r="AA43" i="5"/>
  <c r="AI42" i="5"/>
  <c r="AH42" i="5"/>
  <c r="AE42" i="5"/>
  <c r="AD42" i="5"/>
  <c r="AC42" i="5"/>
  <c r="AB42" i="5"/>
  <c r="AA42" i="5"/>
  <c r="AE40" i="5"/>
  <c r="AI38" i="5"/>
  <c r="AH38" i="5"/>
  <c r="AG38" i="5"/>
  <c r="AF38" i="5"/>
  <c r="AE38" i="5"/>
  <c r="AD38" i="5"/>
  <c r="AB38" i="5"/>
  <c r="AC38" i="5"/>
  <c r="AA38" i="5"/>
  <c r="AI37" i="5"/>
  <c r="AH37" i="5"/>
  <c r="AE37" i="5"/>
  <c r="AD37" i="5"/>
  <c r="AC37" i="5"/>
  <c r="AB37" i="5"/>
  <c r="AA37" i="5"/>
  <c r="AD33" i="5"/>
  <c r="AC33" i="5"/>
  <c r="AC32" i="5"/>
  <c r="AB32" i="5"/>
  <c r="AA32" i="5"/>
  <c r="AC31" i="5"/>
  <c r="AB31" i="5"/>
  <c r="AA31" i="5"/>
  <c r="Z32" i="5"/>
  <c r="Z31" i="5"/>
  <c r="X43" i="5"/>
  <c r="W43" i="5"/>
  <c r="V43" i="5"/>
  <c r="U43" i="5"/>
  <c r="T43" i="5"/>
  <c r="S43" i="5"/>
  <c r="Q43" i="5"/>
  <c r="R43" i="5"/>
  <c r="P43" i="5"/>
  <c r="X42" i="5"/>
  <c r="W42" i="5"/>
  <c r="T42" i="5"/>
  <c r="S42" i="5"/>
  <c r="R42" i="5"/>
  <c r="Q42" i="5"/>
  <c r="P42" i="5"/>
  <c r="T40" i="5"/>
  <c r="X38" i="5"/>
  <c r="W38" i="5"/>
  <c r="V38" i="5"/>
  <c r="U38" i="5"/>
  <c r="T38" i="5"/>
  <c r="S38" i="5"/>
  <c r="Q38" i="5"/>
  <c r="R38" i="5"/>
  <c r="P38" i="5"/>
  <c r="X37" i="5"/>
  <c r="W37" i="5"/>
  <c r="T37" i="5"/>
  <c r="S37" i="5"/>
  <c r="R37" i="5"/>
  <c r="Q37" i="5"/>
  <c r="P37" i="5"/>
  <c r="S33" i="5"/>
  <c r="R33" i="5"/>
  <c r="R32" i="5"/>
  <c r="Q32" i="5"/>
  <c r="P32" i="5"/>
  <c r="R31" i="5"/>
  <c r="Q31" i="5"/>
  <c r="P31" i="5"/>
  <c r="O32" i="5"/>
  <c r="O31" i="5"/>
  <c r="AH21" i="7"/>
  <c r="AG21" i="7"/>
  <c r="AF21" i="7"/>
  <c r="AE21" i="7"/>
  <c r="AD21" i="7"/>
  <c r="AC21" i="7"/>
  <c r="AA21" i="7"/>
  <c r="AB21" i="7"/>
  <c r="Z21" i="7"/>
  <c r="AH20" i="7"/>
  <c r="AG20" i="7"/>
  <c r="AD20" i="7"/>
  <c r="AC20" i="7"/>
  <c r="AB20" i="7"/>
  <c r="AA20" i="7"/>
  <c r="Z20" i="7"/>
  <c r="AD18" i="7"/>
  <c r="AH16" i="7"/>
  <c r="AG16" i="7"/>
  <c r="AF16" i="7"/>
  <c r="AE16" i="7"/>
  <c r="AD16" i="7"/>
  <c r="AC16" i="7"/>
  <c r="AA16" i="7"/>
  <c r="AB16" i="7"/>
  <c r="Z16" i="7"/>
  <c r="AH15" i="7"/>
  <c r="AG15" i="7"/>
  <c r="AD15" i="7"/>
  <c r="AC15" i="7"/>
  <c r="AB15" i="7"/>
  <c r="AA15" i="7"/>
  <c r="Z15" i="7"/>
  <c r="AC11" i="7"/>
  <c r="AB11" i="7"/>
  <c r="AB10" i="7"/>
  <c r="AA10" i="7"/>
  <c r="Z10" i="7"/>
  <c r="AB9" i="7"/>
  <c r="AA9" i="7"/>
  <c r="Z9" i="7"/>
  <c r="Y10" i="7"/>
  <c r="Y9" i="7"/>
  <c r="W21" i="7"/>
  <c r="V21" i="7"/>
  <c r="U21" i="7"/>
  <c r="T21" i="7"/>
  <c r="S21" i="7"/>
  <c r="R21" i="7"/>
  <c r="P21" i="7"/>
  <c r="Q21" i="7"/>
  <c r="O21" i="7"/>
  <c r="W20" i="7"/>
  <c r="V20" i="7"/>
  <c r="S20" i="7"/>
  <c r="R20" i="7"/>
  <c r="Q20" i="7"/>
  <c r="P20" i="7"/>
  <c r="O20" i="7"/>
  <c r="S18" i="7"/>
  <c r="W16" i="7"/>
  <c r="V16" i="7"/>
  <c r="U16" i="7"/>
  <c r="T16" i="7"/>
  <c r="S16" i="7"/>
  <c r="R16" i="7"/>
  <c r="P16" i="7"/>
  <c r="Q16" i="7"/>
  <c r="O16" i="7"/>
  <c r="W15" i="7"/>
  <c r="V15" i="7"/>
  <c r="S15" i="7"/>
  <c r="R15" i="7"/>
  <c r="Q15" i="7"/>
  <c r="P15" i="7"/>
  <c r="O15" i="7"/>
  <c r="R11" i="7"/>
  <c r="Q11" i="7"/>
  <c r="Q10" i="7"/>
  <c r="P10" i="7"/>
  <c r="O10" i="7"/>
  <c r="Q9" i="7"/>
  <c r="P9" i="7"/>
  <c r="O9" i="7"/>
  <c r="N10" i="7"/>
  <c r="N9" i="7"/>
  <c r="W62" i="4"/>
  <c r="V62" i="4"/>
  <c r="U62" i="4"/>
  <c r="T62" i="4"/>
  <c r="S62" i="4"/>
  <c r="R62" i="4"/>
  <c r="P62" i="4"/>
  <c r="Q62" i="4"/>
  <c r="O62" i="4"/>
  <c r="W61" i="4"/>
  <c r="V61" i="4"/>
  <c r="S61" i="4"/>
  <c r="R61" i="4"/>
  <c r="Q61" i="4"/>
  <c r="P61" i="4"/>
  <c r="O61" i="4"/>
  <c r="S59" i="4"/>
  <c r="W57" i="4"/>
  <c r="V57" i="4"/>
  <c r="U57" i="4"/>
  <c r="T57" i="4"/>
  <c r="S57" i="4"/>
  <c r="R57" i="4"/>
  <c r="P57" i="4"/>
  <c r="Q57" i="4"/>
  <c r="O57" i="4"/>
  <c r="W56" i="4"/>
  <c r="V56" i="4"/>
  <c r="S56" i="4"/>
  <c r="R56" i="4"/>
  <c r="Q56" i="4"/>
  <c r="P56" i="4"/>
  <c r="O56" i="4"/>
  <c r="R52" i="4"/>
  <c r="Q52" i="4"/>
  <c r="Q51" i="4"/>
  <c r="P51" i="4"/>
  <c r="O51" i="4"/>
  <c r="Q50" i="4"/>
  <c r="P50" i="4"/>
  <c r="O50" i="4"/>
  <c r="N51" i="4"/>
  <c r="N50" i="4"/>
  <c r="AH41" i="4"/>
  <c r="AG41" i="4"/>
  <c r="AF41" i="4"/>
  <c r="AE41" i="4"/>
  <c r="AD41" i="4"/>
  <c r="AC41" i="4"/>
  <c r="AA41" i="4"/>
  <c r="AB41" i="4"/>
  <c r="Z41" i="4"/>
  <c r="AH40" i="4"/>
  <c r="AG40" i="4"/>
  <c r="AD40" i="4"/>
  <c r="AC40" i="4"/>
  <c r="AB40" i="4"/>
  <c r="AA40" i="4"/>
  <c r="Z40" i="4"/>
  <c r="AD38" i="4"/>
  <c r="AH36" i="4"/>
  <c r="AG36" i="4"/>
  <c r="AF36" i="4"/>
  <c r="AE36" i="4"/>
  <c r="AD36" i="4"/>
  <c r="AC36" i="4"/>
  <c r="AA36" i="4"/>
  <c r="AB36" i="4"/>
  <c r="Z36" i="4"/>
  <c r="AH35" i="4"/>
  <c r="AG35" i="4"/>
  <c r="AD35" i="4"/>
  <c r="AC35" i="4"/>
  <c r="AB35" i="4"/>
  <c r="AA35" i="4"/>
  <c r="Z35" i="4"/>
  <c r="AC31" i="4"/>
  <c r="AB31" i="4"/>
  <c r="AB30" i="4"/>
  <c r="AA30" i="4"/>
  <c r="Z30" i="4"/>
  <c r="AB29" i="4"/>
  <c r="AA29" i="4"/>
  <c r="Z29" i="4"/>
  <c r="Y30" i="4"/>
  <c r="Y29" i="4"/>
  <c r="W43" i="4"/>
  <c r="V43" i="4"/>
  <c r="U43" i="4"/>
  <c r="T43" i="4"/>
  <c r="S43" i="4"/>
  <c r="R43" i="4"/>
  <c r="P43" i="4"/>
  <c r="Q43" i="4"/>
  <c r="O43" i="4"/>
  <c r="W42" i="4"/>
  <c r="V42" i="4"/>
  <c r="S42" i="4"/>
  <c r="R42" i="4"/>
  <c r="Q42" i="4"/>
  <c r="P42" i="4"/>
  <c r="O42" i="4"/>
  <c r="S40" i="4"/>
  <c r="W38" i="4"/>
  <c r="V38" i="4"/>
  <c r="U38" i="4"/>
  <c r="T38" i="4"/>
  <c r="S38" i="4"/>
  <c r="R38" i="4"/>
  <c r="P38" i="4"/>
  <c r="Q38" i="4"/>
  <c r="O38" i="4"/>
  <c r="W37" i="4"/>
  <c r="V37" i="4"/>
  <c r="S37" i="4"/>
  <c r="R37" i="4"/>
  <c r="Q37" i="4"/>
  <c r="P37" i="4"/>
  <c r="O37" i="4"/>
  <c r="R33" i="4"/>
  <c r="Q33" i="4"/>
  <c r="Q32" i="4"/>
  <c r="P32" i="4"/>
  <c r="O32" i="4"/>
  <c r="Q31" i="4"/>
  <c r="P31" i="4"/>
  <c r="O31" i="4"/>
  <c r="N32" i="4"/>
  <c r="N31" i="4"/>
  <c r="V60" i="3"/>
  <c r="U60" i="3"/>
  <c r="T60" i="3"/>
  <c r="S60" i="3"/>
  <c r="R60" i="3"/>
  <c r="Q60" i="3"/>
  <c r="O60" i="3"/>
  <c r="P60" i="3"/>
  <c r="N60" i="3"/>
  <c r="V59" i="3"/>
  <c r="U59" i="3"/>
  <c r="R59" i="3"/>
  <c r="Q59" i="3"/>
  <c r="P59" i="3"/>
  <c r="O59" i="3"/>
  <c r="N59" i="3"/>
  <c r="R57" i="3"/>
  <c r="V55" i="3"/>
  <c r="U55" i="3"/>
  <c r="T55" i="3"/>
  <c r="S55" i="3"/>
  <c r="R55" i="3"/>
  <c r="Q55" i="3"/>
  <c r="O55" i="3"/>
  <c r="P55" i="3"/>
  <c r="N55" i="3"/>
  <c r="V54" i="3"/>
  <c r="U54" i="3"/>
  <c r="R54" i="3"/>
  <c r="Q54" i="3"/>
  <c r="P54" i="3"/>
  <c r="O54" i="3"/>
  <c r="N54" i="3"/>
  <c r="Q50" i="3"/>
  <c r="P50" i="3"/>
  <c r="P49" i="3"/>
  <c r="O49" i="3"/>
  <c r="N49" i="3"/>
  <c r="P48" i="3"/>
  <c r="O48" i="3"/>
  <c r="N48" i="3"/>
  <c r="M49" i="3"/>
  <c r="M48" i="3"/>
  <c r="AG41" i="3"/>
  <c r="AF41" i="3"/>
  <c r="AE41" i="3"/>
  <c r="AD41" i="3"/>
  <c r="AC41" i="3"/>
  <c r="AB41" i="3"/>
  <c r="Z41" i="3"/>
  <c r="AA41" i="3"/>
  <c r="Y41" i="3"/>
  <c r="AG40" i="3"/>
  <c r="AF40" i="3"/>
  <c r="AC40" i="3"/>
  <c r="AB40" i="3"/>
  <c r="AA40" i="3"/>
  <c r="Z40" i="3"/>
  <c r="Y40" i="3"/>
  <c r="AC38" i="3"/>
  <c r="AG36" i="3"/>
  <c r="AF36" i="3"/>
  <c r="AE36" i="3"/>
  <c r="AD36" i="3"/>
  <c r="AC36" i="3"/>
  <c r="AB36" i="3"/>
  <c r="Z36" i="3"/>
  <c r="AA36" i="3"/>
  <c r="Y36" i="3"/>
  <c r="AG35" i="3"/>
  <c r="AF35" i="3"/>
  <c r="AC35" i="3"/>
  <c r="AB35" i="3"/>
  <c r="AA35" i="3"/>
  <c r="Z35" i="3"/>
  <c r="Y35" i="3"/>
  <c r="AB31" i="3"/>
  <c r="AA31" i="3"/>
  <c r="AA30" i="3"/>
  <c r="Z30" i="3"/>
  <c r="Y30" i="3"/>
  <c r="AA29" i="3"/>
  <c r="Z29" i="3"/>
  <c r="Y29" i="3"/>
  <c r="X30" i="3"/>
  <c r="X29" i="3"/>
  <c r="V41" i="3"/>
  <c r="U41" i="3"/>
  <c r="T41" i="3"/>
  <c r="S41" i="3"/>
  <c r="R41" i="3"/>
  <c r="Q41" i="3"/>
  <c r="O41" i="3"/>
  <c r="P41" i="3"/>
  <c r="N41" i="3"/>
  <c r="V40" i="3"/>
  <c r="U40" i="3"/>
  <c r="R40" i="3"/>
  <c r="Q40" i="3"/>
  <c r="P40" i="3"/>
  <c r="O40" i="3"/>
  <c r="N40" i="3"/>
  <c r="R38" i="3"/>
  <c r="V36" i="3"/>
  <c r="U36" i="3"/>
  <c r="T36" i="3"/>
  <c r="S36" i="3"/>
  <c r="R36" i="3"/>
  <c r="Q36" i="3"/>
  <c r="O36" i="3"/>
  <c r="P36" i="3"/>
  <c r="N36" i="3"/>
  <c r="V35" i="3"/>
  <c r="U35" i="3"/>
  <c r="R35" i="3"/>
  <c r="Q35" i="3"/>
  <c r="P35" i="3"/>
  <c r="O35" i="3"/>
  <c r="N35" i="3"/>
  <c r="Q31" i="3"/>
  <c r="P31" i="3"/>
  <c r="P30" i="3"/>
  <c r="O30" i="3"/>
  <c r="N30" i="3"/>
  <c r="P29" i="3"/>
  <c r="O29" i="3"/>
  <c r="N29" i="3"/>
  <c r="M30" i="3"/>
  <c r="M29" i="3"/>
  <c r="AG21" i="3"/>
  <c r="AF21" i="3"/>
  <c r="AE21" i="3"/>
  <c r="AD21" i="3"/>
  <c r="AC21" i="3"/>
  <c r="AB21" i="3"/>
  <c r="Z21" i="3"/>
  <c r="AA21" i="3"/>
  <c r="Y21" i="3"/>
  <c r="AG20" i="3"/>
  <c r="AF20" i="3"/>
  <c r="AC20" i="3"/>
  <c r="AB20" i="3"/>
  <c r="AA20" i="3"/>
  <c r="Z20" i="3"/>
  <c r="Y20" i="3"/>
  <c r="AC18" i="3"/>
  <c r="AG16" i="3"/>
  <c r="AF16" i="3"/>
  <c r="AE16" i="3"/>
  <c r="AD16" i="3"/>
  <c r="AC16" i="3"/>
  <c r="AB16" i="3"/>
  <c r="Z16" i="3"/>
  <c r="AA16" i="3"/>
  <c r="Y16" i="3"/>
  <c r="AG15" i="3"/>
  <c r="AF15" i="3"/>
  <c r="AC15" i="3"/>
  <c r="AB15" i="3"/>
  <c r="AA15" i="3"/>
  <c r="Z15" i="3"/>
  <c r="Y15" i="3"/>
  <c r="AB11" i="3"/>
  <c r="AA11" i="3"/>
  <c r="AA10" i="3"/>
  <c r="Z10" i="3"/>
  <c r="Y10" i="3"/>
  <c r="AA9" i="3"/>
  <c r="Z9" i="3"/>
  <c r="Y9" i="3"/>
  <c r="X10" i="3"/>
  <c r="X9" i="3"/>
  <c r="V21" i="3"/>
  <c r="U21" i="3"/>
  <c r="T21" i="3"/>
  <c r="S21" i="3"/>
  <c r="R21" i="3"/>
  <c r="Q21" i="3"/>
  <c r="O21" i="3"/>
  <c r="P21" i="3"/>
  <c r="N21" i="3"/>
  <c r="V20" i="3"/>
  <c r="U20" i="3"/>
  <c r="R20" i="3"/>
  <c r="Q20" i="3"/>
  <c r="P20" i="3"/>
  <c r="O20" i="3"/>
  <c r="N20" i="3"/>
  <c r="R18" i="3"/>
  <c r="V16" i="3"/>
  <c r="U16" i="3"/>
  <c r="T16" i="3"/>
  <c r="S16" i="3"/>
  <c r="R16" i="3"/>
  <c r="Q16" i="3"/>
  <c r="O16" i="3"/>
  <c r="P16" i="3"/>
  <c r="N16" i="3"/>
  <c r="V15" i="3"/>
  <c r="U15" i="3"/>
  <c r="R15" i="3"/>
  <c r="Q15" i="3"/>
  <c r="P15" i="3"/>
  <c r="O15" i="3"/>
  <c r="N15" i="3"/>
  <c r="Q11" i="3"/>
  <c r="P11" i="3"/>
  <c r="P10" i="3"/>
  <c r="O10" i="3"/>
  <c r="N10" i="3"/>
  <c r="P9" i="3"/>
  <c r="O9" i="3"/>
  <c r="N9" i="3"/>
  <c r="M10" i="3"/>
  <c r="M9" i="3"/>
  <c r="V59" i="2"/>
  <c r="U59" i="2"/>
  <c r="T59" i="2"/>
  <c r="S59" i="2"/>
  <c r="R59" i="2"/>
  <c r="Q59" i="2"/>
  <c r="O59" i="2"/>
  <c r="P59" i="2"/>
  <c r="N59" i="2"/>
  <c r="V58" i="2"/>
  <c r="U58" i="2"/>
  <c r="R58" i="2"/>
  <c r="Q58" i="2"/>
  <c r="P58" i="2"/>
  <c r="O58" i="2"/>
  <c r="N58" i="2"/>
  <c r="R56" i="2"/>
  <c r="V54" i="2"/>
  <c r="U54" i="2"/>
  <c r="T54" i="2"/>
  <c r="S54" i="2"/>
  <c r="R54" i="2"/>
  <c r="Q54" i="2"/>
  <c r="O54" i="2"/>
  <c r="P54" i="2"/>
  <c r="N54" i="2"/>
  <c r="V53" i="2"/>
  <c r="U53" i="2"/>
  <c r="R53" i="2"/>
  <c r="Q53" i="2"/>
  <c r="P53" i="2"/>
  <c r="O53" i="2"/>
  <c r="N53" i="2"/>
  <c r="Q49" i="2"/>
  <c r="P49" i="2"/>
  <c r="P48" i="2"/>
  <c r="O48" i="2"/>
  <c r="N48" i="2"/>
  <c r="P47" i="2"/>
  <c r="O47" i="2"/>
  <c r="N47" i="2"/>
  <c r="M48" i="2"/>
  <c r="M47" i="2"/>
  <c r="AG40" i="2"/>
  <c r="AF40" i="2"/>
  <c r="AE40" i="2"/>
  <c r="AD40" i="2"/>
  <c r="AC40" i="2"/>
  <c r="AB40" i="2"/>
  <c r="Z40" i="2"/>
  <c r="AA40" i="2"/>
  <c r="Y40" i="2"/>
  <c r="AG39" i="2"/>
  <c r="AF39" i="2"/>
  <c r="AC39" i="2"/>
  <c r="AB39" i="2"/>
  <c r="AA39" i="2"/>
  <c r="Z39" i="2"/>
  <c r="Y39" i="2"/>
  <c r="AC37" i="2"/>
  <c r="AG35" i="2"/>
  <c r="AF35" i="2"/>
  <c r="AE35" i="2"/>
  <c r="AD35" i="2"/>
  <c r="AC35" i="2"/>
  <c r="AB35" i="2"/>
  <c r="Z35" i="2"/>
  <c r="AA35" i="2"/>
  <c r="Y35" i="2"/>
  <c r="AG34" i="2"/>
  <c r="AF34" i="2"/>
  <c r="AC34" i="2"/>
  <c r="AB34" i="2"/>
  <c r="AA34" i="2"/>
  <c r="Z34" i="2"/>
  <c r="Y34" i="2"/>
  <c r="AB30" i="2"/>
  <c r="AA30" i="2"/>
  <c r="AA29" i="2"/>
  <c r="Z29" i="2"/>
  <c r="Y29" i="2"/>
  <c r="AA28" i="2"/>
  <c r="Z28" i="2"/>
  <c r="Y28" i="2"/>
  <c r="X29" i="2"/>
  <c r="X28" i="2"/>
  <c r="V40" i="2"/>
  <c r="Q40" i="2"/>
  <c r="O40" i="2"/>
  <c r="P40" i="2"/>
  <c r="N40" i="2"/>
  <c r="V39" i="2"/>
  <c r="Q39" i="2"/>
  <c r="P39" i="2"/>
  <c r="O39" i="2"/>
  <c r="N39" i="2"/>
  <c r="R37" i="2"/>
  <c r="R40" i="2" s="1"/>
  <c r="V35" i="2"/>
  <c r="U35" i="2"/>
  <c r="R35" i="2"/>
  <c r="S35" i="2" s="1"/>
  <c r="Q35" i="2"/>
  <c r="O35" i="2"/>
  <c r="P35" i="2"/>
  <c r="N35" i="2"/>
  <c r="V34" i="2"/>
  <c r="U34" i="2"/>
  <c r="R34" i="2"/>
  <c r="Q34" i="2"/>
  <c r="P34" i="2"/>
  <c r="O34" i="2"/>
  <c r="N34" i="2"/>
  <c r="Q30" i="2"/>
  <c r="P30" i="2"/>
  <c r="P29" i="2"/>
  <c r="O29" i="2"/>
  <c r="N29" i="2"/>
  <c r="P28" i="2"/>
  <c r="O28" i="2"/>
  <c r="N28" i="2"/>
  <c r="M29" i="2"/>
  <c r="M28" i="2"/>
  <c r="AG21" i="2"/>
  <c r="AB21" i="2"/>
  <c r="Z21" i="2"/>
  <c r="AA21" i="2"/>
  <c r="Y21" i="2"/>
  <c r="AG20" i="2"/>
  <c r="AB20" i="2"/>
  <c r="AA20" i="2"/>
  <c r="Z20" i="2"/>
  <c r="Y20" i="2"/>
  <c r="AC18" i="2"/>
  <c r="AF21" i="2" s="1"/>
  <c r="AG16" i="2"/>
  <c r="AF16" i="2"/>
  <c r="AD16" i="2"/>
  <c r="AC16" i="2"/>
  <c r="AE16" i="2" s="1"/>
  <c r="AB16" i="2"/>
  <c r="Z16" i="2"/>
  <c r="AA16" i="2"/>
  <c r="Y16" i="2"/>
  <c r="AG15" i="2"/>
  <c r="AF15" i="2"/>
  <c r="AC15" i="2"/>
  <c r="AB15" i="2"/>
  <c r="AA15" i="2"/>
  <c r="Z15" i="2"/>
  <c r="Y15" i="2"/>
  <c r="AB11" i="2"/>
  <c r="AA11" i="2"/>
  <c r="AA10" i="2"/>
  <c r="Z10" i="2"/>
  <c r="Y10" i="2"/>
  <c r="AA9" i="2"/>
  <c r="Z9" i="2"/>
  <c r="Y9" i="2"/>
  <c r="X10" i="2"/>
  <c r="X9" i="2"/>
  <c r="V21" i="2"/>
  <c r="U21" i="2"/>
  <c r="Q21" i="2"/>
  <c r="O21" i="2"/>
  <c r="P21" i="2"/>
  <c r="N21" i="2"/>
  <c r="V20" i="2"/>
  <c r="R20" i="2"/>
  <c r="Q20" i="2"/>
  <c r="P20" i="2"/>
  <c r="O20" i="2"/>
  <c r="N20" i="2"/>
  <c r="R18" i="2"/>
  <c r="R21" i="2" s="1"/>
  <c r="V16" i="2"/>
  <c r="U16" i="2"/>
  <c r="R16" i="2"/>
  <c r="S16" i="2" s="1"/>
  <c r="Q16" i="2"/>
  <c r="O16" i="2"/>
  <c r="P16" i="2"/>
  <c r="N16" i="2"/>
  <c r="V15" i="2"/>
  <c r="U15" i="2"/>
  <c r="R15" i="2"/>
  <c r="Q15" i="2"/>
  <c r="P15" i="2"/>
  <c r="O15" i="2"/>
  <c r="N15" i="2"/>
  <c r="Q11" i="2"/>
  <c r="P11" i="2"/>
  <c r="P10" i="2"/>
  <c r="O10" i="2"/>
  <c r="N10" i="2"/>
  <c r="P9" i="2"/>
  <c r="O9" i="2"/>
  <c r="N9" i="2"/>
  <c r="M10" i="2"/>
  <c r="M9" i="2"/>
  <c r="AG36" i="1"/>
  <c r="AF36" i="1"/>
  <c r="AE36" i="1"/>
  <c r="AD36" i="1"/>
  <c r="AC36" i="1"/>
  <c r="AB36" i="1"/>
  <c r="Z36" i="1"/>
  <c r="AA36" i="1"/>
  <c r="Y36" i="1"/>
  <c r="AG35" i="1"/>
  <c r="AF35" i="1"/>
  <c r="AC35" i="1"/>
  <c r="AB35" i="1"/>
  <c r="AA35" i="1"/>
  <c r="Z35" i="1"/>
  <c r="Y35" i="1"/>
  <c r="AC33" i="1"/>
  <c r="AG31" i="1"/>
  <c r="AF31" i="1"/>
  <c r="AE31" i="1"/>
  <c r="AD31" i="1"/>
  <c r="AC31" i="1"/>
  <c r="AB31" i="1"/>
  <c r="Z31" i="1"/>
  <c r="AA31" i="1"/>
  <c r="Y31" i="1"/>
  <c r="AG30" i="1"/>
  <c r="AF30" i="1"/>
  <c r="AC30" i="1"/>
  <c r="AB30" i="1"/>
  <c r="AA30" i="1"/>
  <c r="Z30" i="1"/>
  <c r="Y30" i="1"/>
  <c r="AB26" i="1"/>
  <c r="AA26" i="1"/>
  <c r="AA25" i="1"/>
  <c r="Z25" i="1"/>
  <c r="Y25" i="1"/>
  <c r="AA24" i="1"/>
  <c r="Z24" i="1"/>
  <c r="Y24" i="1"/>
  <c r="X25" i="1"/>
  <c r="X24" i="1"/>
  <c r="P89" i="6"/>
  <c r="Q86" i="6"/>
  <c r="P86" i="6"/>
  <c r="P79" i="6"/>
  <c r="Q72" i="6"/>
  <c r="P72" i="6"/>
  <c r="I89" i="6"/>
  <c r="J86" i="6"/>
  <c r="I86" i="6"/>
  <c r="I79" i="6"/>
  <c r="J72" i="6"/>
  <c r="I72" i="6"/>
  <c r="C89" i="6"/>
  <c r="D86" i="6"/>
  <c r="C86" i="6"/>
  <c r="C79" i="6"/>
  <c r="D72" i="6"/>
  <c r="C72" i="6"/>
  <c r="S36" i="1" l="1"/>
  <c r="T36" i="1"/>
  <c r="S31" i="1"/>
  <c r="V30" i="1"/>
  <c r="V31" i="1" s="1"/>
  <c r="O31" i="1"/>
  <c r="Q31" i="1" s="1"/>
  <c r="U31" i="1" s="1"/>
  <c r="Q30" i="1"/>
  <c r="U30" i="1" s="1"/>
  <c r="T40" i="2"/>
  <c r="S40" i="2"/>
  <c r="T35" i="2"/>
  <c r="R39" i="2"/>
  <c r="U40" i="2"/>
  <c r="U39" i="2"/>
  <c r="AF20" i="2"/>
  <c r="AC21" i="2"/>
  <c r="AC20" i="2"/>
  <c r="T21" i="2"/>
  <c r="S21" i="2"/>
  <c r="T16" i="2"/>
  <c r="U20" i="2"/>
  <c r="AD21" i="2" l="1"/>
  <c r="AE21" i="2"/>
  <c r="M44" i="6" l="1"/>
  <c r="L44" i="6"/>
  <c r="M43" i="6"/>
  <c r="L43" i="6"/>
  <c r="C43" i="6"/>
  <c r="D43" i="6"/>
  <c r="E43" i="6"/>
  <c r="C44" i="6"/>
  <c r="D44" i="6"/>
  <c r="E44" i="6"/>
  <c r="B44" i="6"/>
  <c r="B43" i="6"/>
  <c r="M29" i="6"/>
  <c r="L29" i="6"/>
  <c r="M28" i="6"/>
  <c r="L28" i="6"/>
  <c r="C28" i="6"/>
  <c r="D28" i="6"/>
  <c r="E28" i="6"/>
  <c r="C29" i="6"/>
  <c r="D29" i="6"/>
  <c r="E29" i="6"/>
  <c r="B29" i="6"/>
  <c r="B28" i="6"/>
  <c r="M18" i="6"/>
  <c r="L18" i="6"/>
  <c r="M17" i="6"/>
  <c r="L17" i="6"/>
  <c r="E18" i="6"/>
  <c r="D18" i="6"/>
  <c r="C18" i="6"/>
  <c r="B18" i="6"/>
  <c r="E17" i="6"/>
  <c r="D17" i="6"/>
  <c r="C17" i="6"/>
  <c r="B17" i="6"/>
  <c r="C8" i="6"/>
  <c r="D8" i="6"/>
  <c r="E8" i="6"/>
  <c r="C9" i="6"/>
  <c r="D9" i="6"/>
  <c r="E9" i="6"/>
  <c r="B9" i="6"/>
  <c r="C33" i="5"/>
  <c r="D33" i="5"/>
  <c r="E33" i="5"/>
  <c r="C34" i="5"/>
  <c r="D34" i="5"/>
  <c r="E34" i="5"/>
  <c r="B34" i="5"/>
  <c r="B33" i="5"/>
  <c r="C21" i="5"/>
  <c r="B21" i="5"/>
  <c r="C20" i="5"/>
  <c r="B20" i="5"/>
  <c r="C10" i="5"/>
  <c r="C11" i="5"/>
  <c r="B11" i="5"/>
  <c r="B10" i="5"/>
  <c r="C27" i="7"/>
  <c r="D27" i="7"/>
  <c r="E27" i="7"/>
  <c r="C28" i="7"/>
  <c r="D28" i="7"/>
  <c r="E28" i="7"/>
  <c r="B28" i="7"/>
  <c r="B27" i="7"/>
  <c r="C16" i="7"/>
  <c r="D16" i="7"/>
  <c r="C17" i="7"/>
  <c r="D17" i="7"/>
  <c r="B17" i="7"/>
  <c r="B16" i="7"/>
  <c r="C38" i="4"/>
  <c r="D38" i="4"/>
  <c r="E38" i="4"/>
  <c r="C39" i="4"/>
  <c r="D39" i="4"/>
  <c r="E39" i="4"/>
  <c r="B39" i="4"/>
  <c r="B38" i="4"/>
  <c r="E22" i="4"/>
  <c r="D22" i="4"/>
  <c r="C22" i="4"/>
  <c r="B22" i="4"/>
  <c r="E21" i="4"/>
  <c r="D21" i="4"/>
  <c r="C21" i="4"/>
  <c r="B21" i="4"/>
  <c r="C10" i="4"/>
  <c r="D10" i="4"/>
  <c r="E10" i="4"/>
  <c r="C11" i="4"/>
  <c r="D11" i="4"/>
  <c r="E11" i="4"/>
  <c r="B11" i="4"/>
  <c r="B10" i="4"/>
  <c r="E17" i="3"/>
  <c r="D17" i="3"/>
  <c r="C17" i="3"/>
  <c r="B17" i="3"/>
  <c r="E16" i="3"/>
  <c r="D16" i="3"/>
  <c r="C16" i="3"/>
  <c r="B16" i="3"/>
  <c r="E51" i="2" l="1"/>
  <c r="D51" i="2"/>
  <c r="C51" i="2"/>
  <c r="B51" i="2"/>
  <c r="E50" i="2"/>
  <c r="D50" i="2"/>
  <c r="C50" i="2"/>
  <c r="B50" i="2"/>
  <c r="E34" i="2"/>
  <c r="D34" i="2"/>
  <c r="C34" i="2"/>
  <c r="B34" i="2"/>
  <c r="E33" i="2"/>
  <c r="D33" i="2"/>
  <c r="C33" i="2"/>
  <c r="B33" i="2"/>
  <c r="C16" i="2"/>
  <c r="D16" i="2"/>
  <c r="E16" i="2"/>
  <c r="C17" i="2"/>
  <c r="D17" i="2"/>
  <c r="E17" i="2"/>
  <c r="B17" i="2"/>
  <c r="B16" i="2"/>
  <c r="D51" i="1"/>
  <c r="C51" i="1"/>
  <c r="B51" i="1"/>
  <c r="D50" i="1"/>
  <c r="C50" i="1"/>
  <c r="B50" i="1"/>
  <c r="C33" i="1"/>
  <c r="D33" i="1"/>
  <c r="C34" i="1"/>
  <c r="D34" i="1"/>
  <c r="D16" i="1"/>
  <c r="D17" i="1"/>
  <c r="C17" i="1"/>
  <c r="C16" i="1"/>
  <c r="B34" i="1"/>
  <c r="B33" i="1"/>
  <c r="B17" i="1"/>
  <c r="B16" i="1"/>
  <c r="B8" i="6" l="1"/>
</calcChain>
</file>

<file path=xl/comments1.xml><?xml version="1.0" encoding="utf-8"?>
<comments xmlns="http://schemas.openxmlformats.org/spreadsheetml/2006/main">
  <authors>
    <author>tc={36E24324-546D-40CE-96E3-BF20D6E7F7CE}</author>
  </authors>
  <commentList>
    <comment ref="B14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outlier, not used in calculations</t>
        </r>
      </text>
    </comment>
  </commentList>
</comments>
</file>

<file path=xl/sharedStrings.xml><?xml version="1.0" encoding="utf-8"?>
<sst xmlns="http://schemas.openxmlformats.org/spreadsheetml/2006/main" count="1048" uniqueCount="84">
  <si>
    <t>gal</t>
  </si>
  <si>
    <t>glu</t>
  </si>
  <si>
    <t>ctrl</t>
  </si>
  <si>
    <t>24h</t>
  </si>
  <si>
    <t>48h</t>
  </si>
  <si>
    <t>48 h</t>
  </si>
  <si>
    <t>1 mg/mL</t>
  </si>
  <si>
    <t>0.5 mg/mL</t>
  </si>
  <si>
    <t>0.1 mg/mL</t>
  </si>
  <si>
    <t>galactose 1 mg/mL</t>
  </si>
  <si>
    <t>glucose 1 mg/mL</t>
  </si>
  <si>
    <t>control</t>
  </si>
  <si>
    <t>PAO1</t>
  </si>
  <si>
    <t>inhib</t>
  </si>
  <si>
    <t>dispers</t>
  </si>
  <si>
    <t>PAO1 log10(CFU/coupon)</t>
  </si>
  <si>
    <t>cip</t>
  </si>
  <si>
    <t>cip+gal</t>
  </si>
  <si>
    <t>ami</t>
  </si>
  <si>
    <t>ami+gal</t>
  </si>
  <si>
    <t>PAO1 log10 CFU/coupon</t>
  </si>
  <si>
    <t>216</t>
  </si>
  <si>
    <t>216 log10 CFU/coupon</t>
  </si>
  <si>
    <t>mean</t>
  </si>
  <si>
    <t>stdev</t>
  </si>
  <si>
    <t>Each datapoint represents one well.</t>
  </si>
  <si>
    <t>Briefly,  P. aeruginosa PAO1 biofilms were cultivated in 96-well plates in presence of 1 mg/mL galactan (gal), glucan (glu) or without a polysaccharide (ctrl) for 24 h, washed and stained with crystal violet. The stain was solubilized and the OD550 was measured.</t>
  </si>
  <si>
    <t>This experiment was used for Fig 1</t>
  </si>
  <si>
    <t>27.09.16 plate 1</t>
  </si>
  <si>
    <t>27.09.16 plate 2</t>
  </si>
  <si>
    <t>Briefly, P. aeruginosa biofilms were cultivated in 96-well plates for 24h, washed, then further cultivated for 24h in presence of 1 mg/mL galactan (gal), glucan (glu) or without a polysaccharide (48h). The biofilms were washed and stained with crystal violet. The stain was solubilized and the OD550 was measured.</t>
  </si>
  <si>
    <t>T Test: Two Independent Samples</t>
  </si>
  <si>
    <t>SUMMARY</t>
  </si>
  <si>
    <t>Hyp Mean Diff</t>
  </si>
  <si>
    <t>Groups</t>
  </si>
  <si>
    <t>Count</t>
  </si>
  <si>
    <t>Mean</t>
  </si>
  <si>
    <t>Variance</t>
  </si>
  <si>
    <t>Cohen d</t>
  </si>
  <si>
    <t>Pooled</t>
  </si>
  <si>
    <t>T TEST: Equal Variances</t>
  </si>
  <si>
    <t>Alpha</t>
  </si>
  <si>
    <t xml:space="preserve"> </t>
  </si>
  <si>
    <t>std err</t>
  </si>
  <si>
    <t>t-stat</t>
  </si>
  <si>
    <t>df</t>
  </si>
  <si>
    <t>p-value</t>
  </si>
  <si>
    <t>t-crit</t>
  </si>
  <si>
    <t>lower</t>
  </si>
  <si>
    <t>upper</t>
  </si>
  <si>
    <t>sig</t>
  </si>
  <si>
    <t>effect r</t>
  </si>
  <si>
    <t>One Tail</t>
  </si>
  <si>
    <t>Two Tail</t>
  </si>
  <si>
    <t>T TEST: Unequal Variances</t>
  </si>
  <si>
    <t>Mann-Whitney Test for Two Independent Samples</t>
  </si>
  <si>
    <t>count</t>
  </si>
  <si>
    <t>median</t>
  </si>
  <si>
    <t>rank sum</t>
  </si>
  <si>
    <t>U</t>
  </si>
  <si>
    <t>one tail</t>
  </si>
  <si>
    <t>two tail</t>
  </si>
  <si>
    <t>alpha</t>
  </si>
  <si>
    <t>std dev</t>
  </si>
  <si>
    <t>ties</t>
  </si>
  <si>
    <t>z-score</t>
  </si>
  <si>
    <t>U-crit</t>
  </si>
  <si>
    <t>sig (norm)</t>
  </si>
  <si>
    <t>sig (table)</t>
  </si>
  <si>
    <t>sig (exact)</t>
  </si>
  <si>
    <t>Briefly, P. aeruginosa biofilms were cultivated in 96-well plates for 48h, washed, then further cultivated for 24h in presence of 1 mg/mL galactan (gal), glucan (glu) or without a polysaccharide (72h). The biofilms were washed and stained with crystal violet. The stain was solubilized and the OD550 was measured.</t>
  </si>
  <si>
    <t>Briefly,  P. aeruginosa PAO1 biofilms were cultivated in 96-well plates in presence of 1, 0.5 or 0.1 mg/mL galactan or without a polysaccharide (ctrl) for 24 h, washed and stained with crystal violet. The stain was solubilized and the OD550 was measured.</t>
  </si>
  <si>
    <t>Briefly,  P. aeruginosa PAO1 biofilms were cultivated in 96-well plates in presence of 1 mg/mL galactose (gal), glucose (glu) or without additional monosaccharides (ctrl) for 24 h, washed and stained with crystal violet. The stain was solubilized and the OD550 was measured.</t>
  </si>
  <si>
    <t>galactan 1 mg/mL</t>
  </si>
  <si>
    <t>Briefly, P. aeruginosa biofilms were cultivated on polypropylene coupons in presence (inhib ) or absence (24h) of 1 mg/mL galactan, coupons were washed, and the biofilms were detached by vortexing with glass beads and the CFU/coupon were quantified by plate counting. Part of coupons with 24h biofilms were further incubated in presence (dispers) or absence (48h) of 1 mg/mL galactan for 24h, and the CFU/coupon were quantified.</t>
  </si>
  <si>
    <t>This experiment was used for Fig 2</t>
  </si>
  <si>
    <t>Briefly, P. aeruginosa biofilms were cultivated on polypropylene coupons for 24h, coupons were washed and treated with 1 ug/mL ciprofloxacin or 256 ug/mL amikacin with or without 1 mg/mL galactan for 24h. After that, coupons were washed, biofilms were detached and CFU/coupon were quantified by plate counting.</t>
  </si>
  <si>
    <t>The results from two latest experiments pooled; the datapoints where no colonies were recovered (below quantification limit) equaled to 1.6 (minimal possible value) for Mann-Whitney tests.</t>
  </si>
  <si>
    <t>Dunn-Sidak corrected p</t>
  </si>
  <si>
    <t>72h</t>
  </si>
  <si>
    <t>Dunn-Sidak corrected p (5 comparisons)</t>
  </si>
  <si>
    <t>Dunn-Sidak corrected p (2 comparisons)</t>
  </si>
  <si>
    <t>Dunn-Sidak corrected p (3 comparisons)</t>
  </si>
  <si>
    <t>below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</si>
</sst>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5" fontId="0" fillId="2" borderId="0" xfId="0" applyNumberFormat="1" applyFill="1"/>
    <xf numFmtId="14" fontId="0" fillId="0" borderId="0" xfId="0" applyNumberFormat="1"/>
    <xf numFmtId="10" fontId="0" fillId="0" borderId="0" xfId="0" applyNumberFormat="1"/>
    <xf numFmtId="0" fontId="2" fillId="0" borderId="0" xfId="0" applyFont="1"/>
    <xf numFmtId="166" fontId="0" fillId="0" borderId="0" xfId="0" applyNumberFormat="1" applyBorder="1"/>
    <xf numFmtId="0" fontId="0" fillId="0" borderId="0" xfId="0" applyBorder="1"/>
    <xf numFmtId="166" fontId="0" fillId="0" borderId="0" xfId="0" applyNumberFormat="1"/>
    <xf numFmtId="166" fontId="0" fillId="3" borderId="0" xfId="0" applyNumberFormat="1" applyFill="1"/>
    <xf numFmtId="0" fontId="0" fillId="2" borderId="0" xfId="0" applyFill="1"/>
    <xf numFmtId="166" fontId="0" fillId="2" borderId="0" xfId="0" applyNumberFormat="1" applyFill="1"/>
    <xf numFmtId="0" fontId="2" fillId="0" borderId="0" xfId="0" quotePrefix="1" applyFont="1"/>
    <xf numFmtId="165" fontId="0" fillId="4" borderId="0" xfId="0" applyNumberFormat="1" applyFill="1"/>
    <xf numFmtId="0" fontId="0" fillId="5" borderId="0" xfId="0" applyFill="1"/>
    <xf numFmtId="165" fontId="0" fillId="5" borderId="0" xfId="0" applyNumberFormat="1" applyFill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0" fillId="5" borderId="0" xfId="0" applyNumberFormat="1" applyFill="1"/>
    <xf numFmtId="164" fontId="0" fillId="2" borderId="0" xfId="0" applyNumberFormat="1" applyFill="1"/>
    <xf numFmtId="14" fontId="0" fillId="0" borderId="0" xfId="0" applyNumberFormat="1" applyFont="1"/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2" xfId="0" applyBorder="1" applyAlignment="1">
      <alignment horizontal="right"/>
    </xf>
    <xf numFmtId="10" fontId="0" fillId="2" borderId="0" xfId="0" applyNumberFormat="1" applyFill="1"/>
    <xf numFmtId="166" fontId="0" fillId="0" borderId="5" xfId="0" applyNumberFormat="1" applyBorder="1"/>
    <xf numFmtId="166" fontId="0" fillId="0" borderId="6" xfId="0" applyNumberFormat="1" applyBorder="1"/>
    <xf numFmtId="0" fontId="0" fillId="2" borderId="11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17.06.16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1А'!$B$17:$D$17</c:f>
                <c:numCache>
                  <c:formatCode>General</c:formatCode>
                  <c:ptCount val="3"/>
                  <c:pt idx="0">
                    <c:v>1.2155185948990881E-2</c:v>
                  </c:pt>
                  <c:pt idx="1">
                    <c:v>4.5306819340888177E-2</c:v>
                  </c:pt>
                  <c:pt idx="2">
                    <c:v>3.6324730702457543E-2</c:v>
                  </c:pt>
                </c:numCache>
              </c:numRef>
            </c:plus>
            <c:minus>
              <c:numRef>
                <c:f>'Рис 1А'!$B$17:$D$17</c:f>
                <c:numCache>
                  <c:formatCode>General</c:formatCode>
                  <c:ptCount val="3"/>
                  <c:pt idx="0">
                    <c:v>1.2155185948990881E-2</c:v>
                  </c:pt>
                  <c:pt idx="1">
                    <c:v>4.5306819340888177E-2</c:v>
                  </c:pt>
                  <c:pt idx="2">
                    <c:v>3.6324730702457543E-2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1А'!$B$3:$D$3</c:f>
              <c:strCache>
                <c:ptCount val="3"/>
                <c:pt idx="0">
                  <c:v>gal</c:v>
                </c:pt>
                <c:pt idx="1">
                  <c:v>glu</c:v>
                </c:pt>
                <c:pt idx="2">
                  <c:v>ctrl</c:v>
                </c:pt>
              </c:strCache>
            </c:strRef>
          </c:cat>
          <c:val>
            <c:numRef>
              <c:f>'Рис 1А'!$B$16:$D$16</c:f>
              <c:numCache>
                <c:formatCode>0.000</c:formatCode>
                <c:ptCount val="3"/>
                <c:pt idx="0">
                  <c:v>0.17453636363636363</c:v>
                </c:pt>
                <c:pt idx="1">
                  <c:v>0.71843333333333315</c:v>
                </c:pt>
                <c:pt idx="2">
                  <c:v>0.66253333333333331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1-4B72-94C4-C4767313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31937832"/>
        <c:axId val="331938224"/>
      </c:barChart>
      <c:catAx>
        <c:axId val="33193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938224"/>
        <c:crosses val="autoZero"/>
        <c:auto val="1"/>
        <c:lblAlgn val="ctr"/>
        <c:lblOffset val="100"/>
        <c:noMultiLvlLbl val="0"/>
      </c:catAx>
      <c:valAx>
        <c:axId val="3319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93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27.06.17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1Г'!$B$39:$E$39</c:f>
                <c:numCache>
                  <c:formatCode>General</c:formatCode>
                  <c:ptCount val="4"/>
                  <c:pt idx="0">
                    <c:v>1.0355791821122333E-2</c:v>
                  </c:pt>
                  <c:pt idx="1">
                    <c:v>8.7745327079237836E-3</c:v>
                  </c:pt>
                  <c:pt idx="2">
                    <c:v>6.0356516557113278E-2</c:v>
                  </c:pt>
                  <c:pt idx="3">
                    <c:v>6.5418003267565E-2</c:v>
                  </c:pt>
                </c:numCache>
              </c:numRef>
            </c:plus>
            <c:minus>
              <c:numRef>
                <c:f>'Рис 1Г'!$B$39:$E$39</c:f>
                <c:numCache>
                  <c:formatCode>General</c:formatCode>
                  <c:ptCount val="4"/>
                  <c:pt idx="0">
                    <c:v>1.0355791821122333E-2</c:v>
                  </c:pt>
                  <c:pt idx="1">
                    <c:v>8.7745327079237836E-3</c:v>
                  </c:pt>
                  <c:pt idx="2">
                    <c:v>6.0356516557113278E-2</c:v>
                  </c:pt>
                  <c:pt idx="3">
                    <c:v>6.5418003267565E-2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1Г'!$B$25:$E$25</c:f>
              <c:strCache>
                <c:ptCount val="4"/>
                <c:pt idx="0">
                  <c:v>1 mg/mL</c:v>
                </c:pt>
                <c:pt idx="1">
                  <c:v>0.5 mg/mL</c:v>
                </c:pt>
                <c:pt idx="2">
                  <c:v>0.1 mg/mL</c:v>
                </c:pt>
                <c:pt idx="3">
                  <c:v>ctrl</c:v>
                </c:pt>
              </c:strCache>
            </c:strRef>
          </c:cat>
          <c:val>
            <c:numRef>
              <c:f>'Рис 1Г'!$B$38:$E$38</c:f>
              <c:numCache>
                <c:formatCode>0.000</c:formatCode>
                <c:ptCount val="4"/>
                <c:pt idx="0">
                  <c:v>0.13383333333333333</c:v>
                </c:pt>
                <c:pt idx="1">
                  <c:v>0.12758333333333335</c:v>
                </c:pt>
                <c:pt idx="2">
                  <c:v>0.91599999999999993</c:v>
                </c:pt>
                <c:pt idx="3">
                  <c:v>0.48633333333333334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A-44E1-A81A-8745864DB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327920"/>
        <c:axId val="304328312"/>
      </c:barChart>
      <c:catAx>
        <c:axId val="3043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328312"/>
        <c:crosses val="autoZero"/>
        <c:auto val="1"/>
        <c:lblAlgn val="ctr"/>
        <c:lblOffset val="100"/>
        <c:noMultiLvlLbl val="0"/>
      </c:catAx>
      <c:valAx>
        <c:axId val="30432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32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01.08.16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monosaccharides!$B$17:$D$17</c:f>
                <c:numCache>
                  <c:formatCode>General</c:formatCode>
                  <c:ptCount val="3"/>
                  <c:pt idx="0">
                    <c:v>2.7297467692521275E-2</c:v>
                  </c:pt>
                  <c:pt idx="1">
                    <c:v>2.296642311961292E-2</c:v>
                  </c:pt>
                  <c:pt idx="2">
                    <c:v>2.8007948006149093E-2</c:v>
                  </c:pt>
                </c:numCache>
              </c:numRef>
            </c:plus>
            <c:minus>
              <c:numRef>
                <c:f>monosaccharides!$B$17:$D$17</c:f>
                <c:numCache>
                  <c:formatCode>General</c:formatCode>
                  <c:ptCount val="3"/>
                  <c:pt idx="0">
                    <c:v>2.7297467692521275E-2</c:v>
                  </c:pt>
                  <c:pt idx="1">
                    <c:v>2.296642311961292E-2</c:v>
                  </c:pt>
                  <c:pt idx="2">
                    <c:v>2.8007948006149093E-2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monosaccharides!$B$3:$D$3</c:f>
              <c:strCache>
                <c:ptCount val="3"/>
                <c:pt idx="0">
                  <c:v>galactose 1 mg/mL</c:v>
                </c:pt>
                <c:pt idx="1">
                  <c:v>glucose 1 mg/mL</c:v>
                </c:pt>
                <c:pt idx="2">
                  <c:v>ctrl</c:v>
                </c:pt>
              </c:strCache>
            </c:strRef>
          </c:cat>
          <c:val>
            <c:numRef>
              <c:f>monosaccharides!$B$16:$D$16</c:f>
              <c:numCache>
                <c:formatCode>0.000</c:formatCode>
                <c:ptCount val="3"/>
                <c:pt idx="0">
                  <c:v>0.48069166666666668</c:v>
                </c:pt>
                <c:pt idx="1">
                  <c:v>0.51162500000000011</c:v>
                </c:pt>
                <c:pt idx="2">
                  <c:v>0.49528333333333335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9C-49EF-AB4F-5923CCC7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404968"/>
        <c:axId val="304405360"/>
      </c:barChart>
      <c:catAx>
        <c:axId val="30440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5360"/>
        <c:crosses val="autoZero"/>
        <c:auto val="1"/>
        <c:lblAlgn val="ctr"/>
        <c:lblOffset val="100"/>
        <c:noMultiLvlLbl val="0"/>
      </c:catAx>
      <c:valAx>
        <c:axId val="304405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28.10.16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monosaccharides!$B$28:$E$28</c:f>
                <c:numCache>
                  <c:formatCode>General</c:formatCode>
                  <c:ptCount val="4"/>
                  <c:pt idx="0">
                    <c:v>2.7047045433219986E-2</c:v>
                  </c:pt>
                  <c:pt idx="1">
                    <c:v>1.0588043571248987E-2</c:v>
                  </c:pt>
                  <c:pt idx="2">
                    <c:v>1.3827424440822906E-2</c:v>
                  </c:pt>
                  <c:pt idx="3">
                    <c:v>3.388921657400773E-2</c:v>
                  </c:pt>
                </c:numCache>
              </c:numRef>
            </c:plus>
            <c:minus>
              <c:numRef>
                <c:f>monosaccharides!$B$28:$E$28</c:f>
                <c:numCache>
                  <c:formatCode>General</c:formatCode>
                  <c:ptCount val="4"/>
                  <c:pt idx="0">
                    <c:v>2.7047045433219986E-2</c:v>
                  </c:pt>
                  <c:pt idx="1">
                    <c:v>1.0588043571248987E-2</c:v>
                  </c:pt>
                  <c:pt idx="2">
                    <c:v>1.3827424440822906E-2</c:v>
                  </c:pt>
                  <c:pt idx="3">
                    <c:v>3.388921657400773E-2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monosaccharides!$B$20:$E$20</c:f>
              <c:strCache>
                <c:ptCount val="4"/>
                <c:pt idx="0">
                  <c:v>galactose 1 mg/mL</c:v>
                </c:pt>
                <c:pt idx="1">
                  <c:v>glucose 1 mg/mL</c:v>
                </c:pt>
                <c:pt idx="2">
                  <c:v>galactan 1 mg/mL</c:v>
                </c:pt>
                <c:pt idx="3">
                  <c:v>control</c:v>
                </c:pt>
              </c:strCache>
            </c:strRef>
          </c:cat>
          <c:val>
            <c:numRef>
              <c:f>monosaccharides!$B$27:$E$27</c:f>
              <c:numCache>
                <c:formatCode>0.000</c:formatCode>
                <c:ptCount val="4"/>
                <c:pt idx="0">
                  <c:v>0.66326666666666678</c:v>
                </c:pt>
                <c:pt idx="1">
                  <c:v>0.65893333333333326</c:v>
                </c:pt>
                <c:pt idx="2">
                  <c:v>0.20448333333333335</c:v>
                </c:pt>
                <c:pt idx="3">
                  <c:v>0.65455000000000008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F-43CB-91B5-A8843FE24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406144"/>
        <c:axId val="304406536"/>
      </c:barChart>
      <c:catAx>
        <c:axId val="3044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6536"/>
        <c:crosses val="autoZero"/>
        <c:auto val="1"/>
        <c:lblAlgn val="ctr"/>
        <c:lblOffset val="100"/>
        <c:noMultiLvlLbl val="0"/>
      </c:catAx>
      <c:valAx>
        <c:axId val="30440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03.03.17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2Б'!$B$11:$C$11</c:f>
                <c:numCache>
                  <c:formatCode>General</c:formatCode>
                  <c:ptCount val="2"/>
                  <c:pt idx="0">
                    <c:v>6.3189679862710305E-2</c:v>
                  </c:pt>
                  <c:pt idx="1">
                    <c:v>0.18020677786643866</c:v>
                  </c:pt>
                </c:numCache>
              </c:numRef>
            </c:plus>
            <c:minus>
              <c:numRef>
                <c:f>'Рис 2Б'!$B$11:$C$11</c:f>
                <c:numCache>
                  <c:formatCode>General</c:formatCode>
                  <c:ptCount val="2"/>
                  <c:pt idx="0">
                    <c:v>6.3189679862710305E-2</c:v>
                  </c:pt>
                  <c:pt idx="1">
                    <c:v>0.18020677786643866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2Б'!$B$6:$C$6</c:f>
              <c:strCache>
                <c:ptCount val="2"/>
                <c:pt idx="0">
                  <c:v>24h</c:v>
                </c:pt>
                <c:pt idx="1">
                  <c:v>inhib</c:v>
                </c:pt>
              </c:strCache>
            </c:strRef>
          </c:cat>
          <c:val>
            <c:numRef>
              <c:f>'Рис 2Б'!$B$10:$C$10</c:f>
              <c:numCache>
                <c:formatCode>0.0</c:formatCode>
                <c:ptCount val="2"/>
                <c:pt idx="0">
                  <c:v>7.5517376131684761</c:v>
                </c:pt>
                <c:pt idx="1">
                  <c:v>6.6896672996159952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E-4B8D-8132-A9717086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98027336"/>
        <c:axId val="298027728"/>
      </c:barChart>
      <c:catAx>
        <c:axId val="29802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027728"/>
        <c:crosses val="autoZero"/>
        <c:auto val="1"/>
        <c:lblAlgn val="ctr"/>
        <c:lblOffset val="100"/>
        <c:noMultiLvlLbl val="0"/>
      </c:catAx>
      <c:valAx>
        <c:axId val="29802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CFU/coupon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027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10.03.17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2Б'!$B$21:$C$21</c:f>
                <c:numCache>
                  <c:formatCode>General</c:formatCode>
                  <c:ptCount val="2"/>
                  <c:pt idx="0">
                    <c:v>0.18364936275787574</c:v>
                  </c:pt>
                  <c:pt idx="1">
                    <c:v>2.7630450087235348E-2</c:v>
                  </c:pt>
                </c:numCache>
              </c:numRef>
            </c:plus>
            <c:minus>
              <c:numRef>
                <c:f>'Рис 2Б'!$B$21:$C$21</c:f>
                <c:numCache>
                  <c:formatCode>General</c:formatCode>
                  <c:ptCount val="2"/>
                  <c:pt idx="0">
                    <c:v>0.18364936275787574</c:v>
                  </c:pt>
                  <c:pt idx="1">
                    <c:v>2.7630450087235348E-2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2Б'!$B$16:$C$16</c:f>
              <c:strCache>
                <c:ptCount val="2"/>
                <c:pt idx="0">
                  <c:v>24h</c:v>
                </c:pt>
                <c:pt idx="1">
                  <c:v>inhib</c:v>
                </c:pt>
              </c:strCache>
            </c:strRef>
          </c:cat>
          <c:val>
            <c:numRef>
              <c:f>'Рис 2Б'!$B$20:$C$20</c:f>
              <c:numCache>
                <c:formatCode>0.0</c:formatCode>
                <c:ptCount val="2"/>
                <c:pt idx="0">
                  <c:v>7.5834700443338612</c:v>
                </c:pt>
                <c:pt idx="1">
                  <c:v>6.861009158318832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9-4487-92C1-EFD92CE8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98028512"/>
        <c:axId val="323519920"/>
      </c:barChart>
      <c:catAx>
        <c:axId val="2980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519920"/>
        <c:crosses val="autoZero"/>
        <c:auto val="1"/>
        <c:lblAlgn val="ctr"/>
        <c:lblOffset val="100"/>
        <c:noMultiLvlLbl val="0"/>
      </c:catAx>
      <c:valAx>
        <c:axId val="32351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0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02.02.18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2Б'!$B$34:$E$34</c:f>
                <c:numCache>
                  <c:formatCode>General</c:formatCode>
                  <c:ptCount val="4"/>
                  <c:pt idx="0">
                    <c:v>0.14259206060938984</c:v>
                  </c:pt>
                  <c:pt idx="1">
                    <c:v>8.3348782883457428E-2</c:v>
                  </c:pt>
                  <c:pt idx="2">
                    <c:v>0.1267033631939776</c:v>
                  </c:pt>
                  <c:pt idx="3">
                    <c:v>5.4459970571291635E-2</c:v>
                  </c:pt>
                </c:numCache>
              </c:numRef>
            </c:plus>
            <c:minus>
              <c:numRef>
                <c:f>'Рис 2Б'!$B$34:$E$34</c:f>
                <c:numCache>
                  <c:formatCode>General</c:formatCode>
                  <c:ptCount val="4"/>
                  <c:pt idx="0">
                    <c:v>0.14259206060938984</c:v>
                  </c:pt>
                  <c:pt idx="1">
                    <c:v>8.3348782883457428E-2</c:v>
                  </c:pt>
                  <c:pt idx="2">
                    <c:v>0.1267033631939776</c:v>
                  </c:pt>
                  <c:pt idx="3">
                    <c:v>5.4459970571291635E-2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2Б'!$B$27:$E$27</c:f>
              <c:strCache>
                <c:ptCount val="4"/>
                <c:pt idx="0">
                  <c:v>24h</c:v>
                </c:pt>
                <c:pt idx="1">
                  <c:v>inhib</c:v>
                </c:pt>
                <c:pt idx="2">
                  <c:v>dispers</c:v>
                </c:pt>
                <c:pt idx="3">
                  <c:v>48h</c:v>
                </c:pt>
              </c:strCache>
            </c:strRef>
          </c:cat>
          <c:val>
            <c:numRef>
              <c:f>'Рис 2Б'!$B$33:$E$33</c:f>
              <c:numCache>
                <c:formatCode>0.0</c:formatCode>
                <c:ptCount val="4"/>
                <c:pt idx="0">
                  <c:v>7.5153489940591189</c:v>
                </c:pt>
                <c:pt idx="1">
                  <c:v>6.8661304939435652</c:v>
                </c:pt>
                <c:pt idx="2">
                  <c:v>7.1939384888798088</c:v>
                </c:pt>
                <c:pt idx="3">
                  <c:v>7.7842878107395421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12-4F35-A23F-42E08ABF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23520704"/>
        <c:axId val="323521096"/>
      </c:barChart>
      <c:catAx>
        <c:axId val="3235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521096"/>
        <c:crosses val="autoZero"/>
        <c:auto val="1"/>
        <c:lblAlgn val="ctr"/>
        <c:lblOffset val="100"/>
        <c:noMultiLvlLbl val="0"/>
      </c:catAx>
      <c:valAx>
        <c:axId val="32352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52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PAO1 pooled data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3'!$B$44:$E$44</c:f>
                <c:numCache>
                  <c:formatCode>General</c:formatCode>
                  <c:ptCount val="4"/>
                  <c:pt idx="0">
                    <c:v>0.47020000573595405</c:v>
                  </c:pt>
                  <c:pt idx="1">
                    <c:v>0.24967316163408035</c:v>
                  </c:pt>
                  <c:pt idx="2">
                    <c:v>0.56224590564644006</c:v>
                  </c:pt>
                  <c:pt idx="3">
                    <c:v>1.4488088879155268</c:v>
                  </c:pt>
                </c:numCache>
              </c:numRef>
            </c:plus>
            <c:minus>
              <c:numRef>
                <c:f>'Рис 3'!$B$44:$E$44</c:f>
                <c:numCache>
                  <c:formatCode>General</c:formatCode>
                  <c:ptCount val="4"/>
                  <c:pt idx="0">
                    <c:v>0.47020000573595405</c:v>
                  </c:pt>
                  <c:pt idx="1">
                    <c:v>0.24967316163408035</c:v>
                  </c:pt>
                  <c:pt idx="2">
                    <c:v>0.56224590564644006</c:v>
                  </c:pt>
                  <c:pt idx="3">
                    <c:v>1.4488088879155268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3'!$B$34:$E$34</c:f>
              <c:strCache>
                <c:ptCount val="4"/>
                <c:pt idx="0">
                  <c:v>cip</c:v>
                </c:pt>
                <c:pt idx="1">
                  <c:v>cip+gal</c:v>
                </c:pt>
                <c:pt idx="2">
                  <c:v>ami</c:v>
                </c:pt>
                <c:pt idx="3">
                  <c:v>ami+gal</c:v>
                </c:pt>
              </c:strCache>
            </c:strRef>
          </c:cat>
          <c:val>
            <c:numRef>
              <c:f>'Рис 3'!$B$43:$E$43</c:f>
              <c:numCache>
                <c:formatCode>0.0</c:formatCode>
                <c:ptCount val="4"/>
                <c:pt idx="0">
                  <c:v>3.3381412543931557</c:v>
                </c:pt>
                <c:pt idx="1">
                  <c:v>4.3617599196299377</c:v>
                </c:pt>
                <c:pt idx="2">
                  <c:v>2.0091402351879886</c:v>
                </c:pt>
                <c:pt idx="3">
                  <c:v>4.5089727959419665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F-4462-91B8-FC0D7F60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23297312"/>
        <c:axId val="323297704"/>
      </c:barChart>
      <c:catAx>
        <c:axId val="3232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97704"/>
        <c:crosses val="autoZero"/>
        <c:auto val="1"/>
        <c:lblAlgn val="ctr"/>
        <c:lblOffset val="100"/>
        <c:noMultiLvlLbl val="0"/>
      </c:catAx>
      <c:valAx>
        <c:axId val="32329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 CFU/coupon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9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216 pooled data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3'!$L$44:$M$44</c:f>
                <c:numCache>
                  <c:formatCode>General</c:formatCode>
                  <c:ptCount val="2"/>
                  <c:pt idx="0">
                    <c:v>0.54883017830423386</c:v>
                  </c:pt>
                  <c:pt idx="1">
                    <c:v>1.4616760542625755</c:v>
                  </c:pt>
                </c:numCache>
              </c:numRef>
            </c:plus>
            <c:minus>
              <c:numRef>
                <c:f>'Рис 3'!$L$44:$M$44</c:f>
                <c:numCache>
                  <c:formatCode>General</c:formatCode>
                  <c:ptCount val="2"/>
                  <c:pt idx="0">
                    <c:v>0.54883017830423386</c:v>
                  </c:pt>
                  <c:pt idx="1">
                    <c:v>1.4616760542625755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3'!$L$34:$M$34</c:f>
              <c:strCache>
                <c:ptCount val="2"/>
                <c:pt idx="0">
                  <c:v>ami</c:v>
                </c:pt>
                <c:pt idx="1">
                  <c:v>ami+gal</c:v>
                </c:pt>
              </c:strCache>
            </c:strRef>
          </c:cat>
          <c:val>
            <c:numRef>
              <c:f>'Рис 3'!$L$43:$M$43</c:f>
              <c:numCache>
                <c:formatCode>0.0</c:formatCode>
                <c:ptCount val="2"/>
                <c:pt idx="0">
                  <c:v>1.8965742365793785</c:v>
                </c:pt>
                <c:pt idx="1">
                  <c:v>4.0741249838692548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2-4EBA-B6AA-B12EA4853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23298488"/>
        <c:axId val="323298880"/>
      </c:barChart>
      <c:catAx>
        <c:axId val="3232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98880"/>
        <c:crosses val="autoZero"/>
        <c:auto val="1"/>
        <c:lblAlgn val="ctr"/>
        <c:lblOffset val="100"/>
        <c:noMultiLvlLbl val="0"/>
      </c:catAx>
      <c:valAx>
        <c:axId val="3232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log10</a:t>
                </a:r>
                <a:r>
                  <a:rPr lang="en-US" baseline="0"/>
                  <a:t> CFU/coupon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23.09.16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1А'!$B$34:$D$34</c:f>
                <c:numCache>
                  <c:formatCode>General</c:formatCode>
                  <c:ptCount val="3"/>
                  <c:pt idx="0">
                    <c:v>3.1970208670326829E-2</c:v>
                  </c:pt>
                  <c:pt idx="1">
                    <c:v>6.3095052752321093E-2</c:v>
                  </c:pt>
                  <c:pt idx="2">
                    <c:v>5.975566094648703E-2</c:v>
                  </c:pt>
                </c:numCache>
              </c:numRef>
            </c:plus>
            <c:minus>
              <c:numRef>
                <c:f>'Рис 1А'!$B$34:$D$34</c:f>
                <c:numCache>
                  <c:formatCode>General</c:formatCode>
                  <c:ptCount val="3"/>
                  <c:pt idx="0">
                    <c:v>3.1970208670326829E-2</c:v>
                  </c:pt>
                  <c:pt idx="1">
                    <c:v>6.3095052752321093E-2</c:v>
                  </c:pt>
                  <c:pt idx="2">
                    <c:v>5.975566094648703E-2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1А'!$B$20:$D$20</c:f>
              <c:strCache>
                <c:ptCount val="3"/>
                <c:pt idx="0">
                  <c:v>gal</c:v>
                </c:pt>
                <c:pt idx="1">
                  <c:v>glu</c:v>
                </c:pt>
                <c:pt idx="2">
                  <c:v>ctrl</c:v>
                </c:pt>
              </c:strCache>
            </c:strRef>
          </c:cat>
          <c:val>
            <c:numRef>
              <c:f>'Рис 1А'!$B$33:$D$33</c:f>
              <c:numCache>
                <c:formatCode>0.000</c:formatCode>
                <c:ptCount val="3"/>
                <c:pt idx="0">
                  <c:v>0.19551666666666667</c:v>
                </c:pt>
                <c:pt idx="1">
                  <c:v>0.65477500000000011</c:v>
                </c:pt>
                <c:pt idx="2">
                  <c:v>0.70885833333333326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B2-48F9-8E13-1BA47589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97523936"/>
        <c:axId val="297524328"/>
      </c:barChart>
      <c:catAx>
        <c:axId val="29752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524328"/>
        <c:crosses val="autoZero"/>
        <c:auto val="1"/>
        <c:lblAlgn val="ctr"/>
        <c:lblOffset val="100"/>
        <c:noMultiLvlLbl val="0"/>
      </c:catAx>
      <c:valAx>
        <c:axId val="29752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52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07.10.16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1А'!$B$51:$D$51</c:f>
                <c:numCache>
                  <c:formatCode>General</c:formatCode>
                  <c:ptCount val="3"/>
                  <c:pt idx="0">
                    <c:v>2.333424457095129E-2</c:v>
                  </c:pt>
                  <c:pt idx="1">
                    <c:v>3.4601615831949498E-2</c:v>
                  </c:pt>
                  <c:pt idx="2">
                    <c:v>3.8676007557736092E-2</c:v>
                  </c:pt>
                </c:numCache>
              </c:numRef>
            </c:plus>
            <c:minus>
              <c:numRef>
                <c:f>'Рис 1А'!$B$51:$D$51</c:f>
                <c:numCache>
                  <c:formatCode>General</c:formatCode>
                  <c:ptCount val="3"/>
                  <c:pt idx="0">
                    <c:v>2.333424457095129E-2</c:v>
                  </c:pt>
                  <c:pt idx="1">
                    <c:v>3.4601615831949498E-2</c:v>
                  </c:pt>
                  <c:pt idx="2">
                    <c:v>3.8676007557736092E-2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1А'!$B$37:$D$37</c:f>
              <c:strCache>
                <c:ptCount val="3"/>
                <c:pt idx="0">
                  <c:v>gal</c:v>
                </c:pt>
                <c:pt idx="1">
                  <c:v>glu</c:v>
                </c:pt>
                <c:pt idx="2">
                  <c:v>ctrl</c:v>
                </c:pt>
              </c:strCache>
            </c:strRef>
          </c:cat>
          <c:val>
            <c:numRef>
              <c:f>'Рис 1А'!$B$50:$D$50</c:f>
              <c:numCache>
                <c:formatCode>0.000</c:formatCode>
                <c:ptCount val="3"/>
                <c:pt idx="0">
                  <c:v>0.22078333333333333</c:v>
                </c:pt>
                <c:pt idx="1">
                  <c:v>0.65794999999999992</c:v>
                </c:pt>
                <c:pt idx="2">
                  <c:v>0.54580833333333334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88-4B59-A43D-C36AF20BF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97523152"/>
        <c:axId val="331939400"/>
      </c:barChart>
      <c:catAx>
        <c:axId val="2975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939400"/>
        <c:crosses val="autoZero"/>
        <c:auto val="1"/>
        <c:lblAlgn val="ctr"/>
        <c:lblOffset val="100"/>
        <c:noMultiLvlLbl val="0"/>
      </c:catAx>
      <c:valAx>
        <c:axId val="33193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5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26.07.16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1Б'!$B$17:$E$17</c:f>
                <c:numCache>
                  <c:formatCode>General</c:formatCode>
                  <c:ptCount val="4"/>
                  <c:pt idx="0">
                    <c:v>5.1579415085924174E-2</c:v>
                  </c:pt>
                  <c:pt idx="1">
                    <c:v>2.3569489458478591E-2</c:v>
                  </c:pt>
                  <c:pt idx="2">
                    <c:v>7.2723496682275748E-2</c:v>
                  </c:pt>
                  <c:pt idx="3">
                    <c:v>6.8622155513162988E-2</c:v>
                  </c:pt>
                </c:numCache>
              </c:numRef>
            </c:plus>
            <c:minus>
              <c:numRef>
                <c:f>'Рис 1Б'!$B$17:$E$17</c:f>
                <c:numCache>
                  <c:formatCode>General</c:formatCode>
                  <c:ptCount val="4"/>
                  <c:pt idx="0">
                    <c:v>5.1579415085924174E-2</c:v>
                  </c:pt>
                  <c:pt idx="1">
                    <c:v>2.3569489458478591E-2</c:v>
                  </c:pt>
                  <c:pt idx="2">
                    <c:v>7.2723496682275748E-2</c:v>
                  </c:pt>
                  <c:pt idx="3">
                    <c:v>6.8622155513162988E-2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1Б'!$B$3:$E$3</c:f>
              <c:strCache>
                <c:ptCount val="4"/>
                <c:pt idx="0">
                  <c:v>24h</c:v>
                </c:pt>
                <c:pt idx="1">
                  <c:v>gal</c:v>
                </c:pt>
                <c:pt idx="2">
                  <c:v>glu</c:v>
                </c:pt>
                <c:pt idx="3">
                  <c:v>48h</c:v>
                </c:pt>
              </c:strCache>
            </c:strRef>
          </c:cat>
          <c:val>
            <c:numRef>
              <c:f>'Рис 1Б'!$B$16:$E$16</c:f>
              <c:numCache>
                <c:formatCode>0.000</c:formatCode>
                <c:ptCount val="4"/>
                <c:pt idx="0">
                  <c:v>0.72868333333333324</c:v>
                </c:pt>
                <c:pt idx="1">
                  <c:v>0.4583416666666667</c:v>
                </c:pt>
                <c:pt idx="2">
                  <c:v>1.0287833333333334</c:v>
                </c:pt>
                <c:pt idx="3">
                  <c:v>0.99917499999999981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5-4E8B-BDF6-30F1E8AC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585872"/>
        <c:axId val="304586264"/>
      </c:barChart>
      <c:catAx>
        <c:axId val="30458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86264"/>
        <c:crosses val="autoZero"/>
        <c:auto val="1"/>
        <c:lblAlgn val="ctr"/>
        <c:lblOffset val="100"/>
        <c:noMultiLvlLbl val="0"/>
      </c:catAx>
      <c:valAx>
        <c:axId val="30458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8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27.09.16 plate</a:t>
            </a:r>
            <a:r>
              <a:rPr lang="en-US" baseline="0"/>
              <a:t> 1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1Б'!$B$34:$E$34</c:f>
                <c:numCache>
                  <c:formatCode>General</c:formatCode>
                  <c:ptCount val="4"/>
                  <c:pt idx="0">
                    <c:v>0.1064167052276815</c:v>
                  </c:pt>
                  <c:pt idx="1">
                    <c:v>6.3869836860650134E-2</c:v>
                  </c:pt>
                  <c:pt idx="2">
                    <c:v>5.8771449984948737E-2</c:v>
                  </c:pt>
                  <c:pt idx="3">
                    <c:v>5.1181495235538547E-2</c:v>
                  </c:pt>
                </c:numCache>
              </c:numRef>
            </c:plus>
            <c:minus>
              <c:numRef>
                <c:f>'Рис 1Б'!$B$34:$E$34</c:f>
                <c:numCache>
                  <c:formatCode>General</c:formatCode>
                  <c:ptCount val="4"/>
                  <c:pt idx="0">
                    <c:v>0.1064167052276815</c:v>
                  </c:pt>
                  <c:pt idx="1">
                    <c:v>6.3869836860650134E-2</c:v>
                  </c:pt>
                  <c:pt idx="2">
                    <c:v>5.8771449984948737E-2</c:v>
                  </c:pt>
                  <c:pt idx="3">
                    <c:v>5.1181495235538547E-2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1Б'!$B$20:$E$20</c:f>
              <c:strCache>
                <c:ptCount val="4"/>
                <c:pt idx="0">
                  <c:v>24h</c:v>
                </c:pt>
                <c:pt idx="1">
                  <c:v>gal</c:v>
                </c:pt>
                <c:pt idx="2">
                  <c:v>glu</c:v>
                </c:pt>
                <c:pt idx="3">
                  <c:v>48h</c:v>
                </c:pt>
              </c:strCache>
            </c:strRef>
          </c:cat>
          <c:val>
            <c:numRef>
              <c:f>'Рис 1Б'!$B$33:$E$33</c:f>
              <c:numCache>
                <c:formatCode>0.000</c:formatCode>
                <c:ptCount val="4"/>
                <c:pt idx="0">
                  <c:v>0.73983333333333334</c:v>
                </c:pt>
                <c:pt idx="1">
                  <c:v>0.6595833333333333</c:v>
                </c:pt>
                <c:pt idx="2">
                  <c:v>1.0265833333333332</c:v>
                </c:pt>
                <c:pt idx="3">
                  <c:v>0.98850000000000005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D4-4BFB-829D-0C9B04944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587048"/>
        <c:axId val="304587440"/>
      </c:barChart>
      <c:catAx>
        <c:axId val="30458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87440"/>
        <c:crosses val="autoZero"/>
        <c:auto val="1"/>
        <c:lblAlgn val="ctr"/>
        <c:lblOffset val="100"/>
        <c:noMultiLvlLbl val="0"/>
      </c:catAx>
      <c:valAx>
        <c:axId val="3045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8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27.09.16</a:t>
            </a:r>
            <a:r>
              <a:rPr lang="en-US" baseline="0"/>
              <a:t> plate 2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1Б'!$B$51:$E$51</c:f>
                <c:numCache>
                  <c:formatCode>General</c:formatCode>
                  <c:ptCount val="4"/>
                  <c:pt idx="0">
                    <c:v>0.18585527116060432</c:v>
                  </c:pt>
                  <c:pt idx="1">
                    <c:v>2.4084447389562565E-2</c:v>
                  </c:pt>
                  <c:pt idx="2">
                    <c:v>5.1502868410851201E-2</c:v>
                  </c:pt>
                  <c:pt idx="3">
                    <c:v>6.625135790489449E-2</c:v>
                  </c:pt>
                </c:numCache>
              </c:numRef>
            </c:plus>
            <c:minus>
              <c:numRef>
                <c:f>'Рис 1Б'!$B$51:$E$51</c:f>
                <c:numCache>
                  <c:formatCode>General</c:formatCode>
                  <c:ptCount val="4"/>
                  <c:pt idx="0">
                    <c:v>0.18585527116060432</c:v>
                  </c:pt>
                  <c:pt idx="1">
                    <c:v>2.4084447389562565E-2</c:v>
                  </c:pt>
                  <c:pt idx="2">
                    <c:v>5.1502868410851201E-2</c:v>
                  </c:pt>
                  <c:pt idx="3">
                    <c:v>6.625135790489449E-2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1Б'!$B$37:$E$37</c:f>
              <c:strCache>
                <c:ptCount val="4"/>
                <c:pt idx="0">
                  <c:v>24h</c:v>
                </c:pt>
                <c:pt idx="1">
                  <c:v>gal</c:v>
                </c:pt>
                <c:pt idx="2">
                  <c:v>glu</c:v>
                </c:pt>
                <c:pt idx="3">
                  <c:v>48h</c:v>
                </c:pt>
              </c:strCache>
            </c:strRef>
          </c:cat>
          <c:val>
            <c:numRef>
              <c:f>'Рис 1Б'!$B$50:$E$50</c:f>
              <c:numCache>
                <c:formatCode>0.000</c:formatCode>
                <c:ptCount val="4"/>
                <c:pt idx="0">
                  <c:v>0.83300000000000007</c:v>
                </c:pt>
                <c:pt idx="1">
                  <c:v>0.6206666666666667</c:v>
                </c:pt>
                <c:pt idx="2">
                  <c:v>0.97900000000000009</c:v>
                </c:pt>
                <c:pt idx="3">
                  <c:v>0.97883333333333356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0E-4585-8605-C2E632789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3917280"/>
        <c:axId val="303917672"/>
      </c:barChart>
      <c:catAx>
        <c:axId val="3039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917672"/>
        <c:crosses val="autoZero"/>
        <c:auto val="1"/>
        <c:lblAlgn val="ctr"/>
        <c:lblOffset val="100"/>
        <c:noMultiLvlLbl val="0"/>
      </c:catAx>
      <c:valAx>
        <c:axId val="30391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91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11.10.16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1В'!$B$17:$E$17</c:f>
                <c:numCache>
                  <c:formatCode>General</c:formatCode>
                  <c:ptCount val="4"/>
                  <c:pt idx="0">
                    <c:v>3.0435310185056547E-2</c:v>
                  </c:pt>
                  <c:pt idx="1">
                    <c:v>4.2203712316967255E-2</c:v>
                  </c:pt>
                  <c:pt idx="2">
                    <c:v>6.6200924647941417E-2</c:v>
                  </c:pt>
                  <c:pt idx="3">
                    <c:v>5.1525741580830731E-2</c:v>
                  </c:pt>
                </c:numCache>
              </c:numRef>
            </c:plus>
            <c:minus>
              <c:numRef>
                <c:f>'Рис 1В'!$B$17:$E$17</c:f>
                <c:numCache>
                  <c:formatCode>General</c:formatCode>
                  <c:ptCount val="4"/>
                  <c:pt idx="0">
                    <c:v>3.0435310185056547E-2</c:v>
                  </c:pt>
                  <c:pt idx="1">
                    <c:v>4.2203712316967255E-2</c:v>
                  </c:pt>
                  <c:pt idx="2">
                    <c:v>6.6200924647941417E-2</c:v>
                  </c:pt>
                  <c:pt idx="3">
                    <c:v>5.1525741580830731E-2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1В'!$B$3:$E$3</c:f>
              <c:strCache>
                <c:ptCount val="4"/>
                <c:pt idx="0">
                  <c:v>48 h</c:v>
                </c:pt>
                <c:pt idx="1">
                  <c:v>gal</c:v>
                </c:pt>
                <c:pt idx="2">
                  <c:v>glu</c:v>
                </c:pt>
                <c:pt idx="3">
                  <c:v>72h</c:v>
                </c:pt>
              </c:strCache>
            </c:strRef>
          </c:cat>
          <c:val>
            <c:numRef>
              <c:f>'Рис 1В'!$B$16:$E$16</c:f>
              <c:numCache>
                <c:formatCode>0.000</c:formatCode>
                <c:ptCount val="4"/>
                <c:pt idx="0">
                  <c:v>1.0631416666666669</c:v>
                </c:pt>
                <c:pt idx="1">
                  <c:v>0.8503666666666666</c:v>
                </c:pt>
                <c:pt idx="2">
                  <c:v>1.5589333333333333</c:v>
                </c:pt>
                <c:pt idx="3">
                  <c:v>1.4569750000000001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E6-441B-9B65-A224C7CDF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97523544"/>
        <c:axId val="303918456"/>
      </c:barChart>
      <c:catAx>
        <c:axId val="29752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918456"/>
        <c:crosses val="autoZero"/>
        <c:auto val="1"/>
        <c:lblAlgn val="ctr"/>
        <c:lblOffset val="100"/>
        <c:noMultiLvlLbl val="0"/>
      </c:catAx>
      <c:valAx>
        <c:axId val="30391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52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08.02.17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1Г'!$B$11:$E$11</c:f>
                <c:numCache>
                  <c:formatCode>General</c:formatCode>
                  <c:ptCount val="4"/>
                  <c:pt idx="0">
                    <c:v>1.1724063573124574E-2</c:v>
                  </c:pt>
                  <c:pt idx="1">
                    <c:v>1.7996749706544243E-2</c:v>
                  </c:pt>
                  <c:pt idx="2">
                    <c:v>2.688134421242112E-2</c:v>
                  </c:pt>
                  <c:pt idx="3">
                    <c:v>3.4562315701738892E-2</c:v>
                  </c:pt>
                </c:numCache>
              </c:numRef>
            </c:plus>
            <c:minus>
              <c:numRef>
                <c:f>'Рис 1Г'!$B$11:$E$11</c:f>
                <c:numCache>
                  <c:formatCode>General</c:formatCode>
                  <c:ptCount val="4"/>
                  <c:pt idx="0">
                    <c:v>1.1724063573124574E-2</c:v>
                  </c:pt>
                  <c:pt idx="1">
                    <c:v>1.7996749706544243E-2</c:v>
                  </c:pt>
                  <c:pt idx="2">
                    <c:v>2.688134421242112E-2</c:v>
                  </c:pt>
                  <c:pt idx="3">
                    <c:v>3.4562315701738892E-2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1Г'!$B$3:$E$3</c:f>
              <c:strCache>
                <c:ptCount val="4"/>
                <c:pt idx="0">
                  <c:v>1 mg/mL</c:v>
                </c:pt>
                <c:pt idx="1">
                  <c:v>0.5 mg/mL</c:v>
                </c:pt>
                <c:pt idx="2">
                  <c:v>0.1 mg/mL</c:v>
                </c:pt>
                <c:pt idx="3">
                  <c:v>ctrl</c:v>
                </c:pt>
              </c:strCache>
            </c:strRef>
          </c:cat>
          <c:val>
            <c:numRef>
              <c:f>'Рис 1Г'!$B$10:$E$10</c:f>
              <c:numCache>
                <c:formatCode>0.000</c:formatCode>
                <c:ptCount val="4"/>
                <c:pt idx="0">
                  <c:v>0.19561666666666666</c:v>
                </c:pt>
                <c:pt idx="1">
                  <c:v>0.20494999999999999</c:v>
                </c:pt>
                <c:pt idx="2">
                  <c:v>0.59736666666666671</c:v>
                </c:pt>
                <c:pt idx="3">
                  <c:v>0.34681666666666672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9-40C6-A858-78329986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206208"/>
        <c:axId val="304206600"/>
      </c:barChart>
      <c:catAx>
        <c:axId val="30420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206600"/>
        <c:crosses val="autoZero"/>
        <c:auto val="1"/>
        <c:lblAlgn val="ctr"/>
        <c:lblOffset val="100"/>
        <c:noMultiLvlLbl val="0"/>
      </c:catAx>
      <c:valAx>
        <c:axId val="30420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20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21.02.17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'Рис 1Г'!$B$22:$E$22</c:f>
                <c:numCache>
                  <c:formatCode>General</c:formatCode>
                  <c:ptCount val="4"/>
                  <c:pt idx="0">
                    <c:v>1.5733965382784675E-2</c:v>
                  </c:pt>
                  <c:pt idx="1">
                    <c:v>9.6387585646008703E-3</c:v>
                  </c:pt>
                  <c:pt idx="2">
                    <c:v>6.6810041660417083E-2</c:v>
                  </c:pt>
                  <c:pt idx="3">
                    <c:v>1.2545503842678739E-2</c:v>
                  </c:pt>
                </c:numCache>
              </c:numRef>
            </c:plus>
            <c:minus>
              <c:numRef>
                <c:f>'Рис 1Г'!$B$22:$E$22</c:f>
                <c:numCache>
                  <c:formatCode>General</c:formatCode>
                  <c:ptCount val="4"/>
                  <c:pt idx="0">
                    <c:v>1.5733965382784675E-2</c:v>
                  </c:pt>
                  <c:pt idx="1">
                    <c:v>9.6387585646008703E-3</c:v>
                  </c:pt>
                  <c:pt idx="2">
                    <c:v>6.6810041660417083E-2</c:v>
                  </c:pt>
                  <c:pt idx="3">
                    <c:v>1.2545503842678739E-2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1Г'!$B$14:$E$14</c:f>
              <c:strCache>
                <c:ptCount val="4"/>
                <c:pt idx="0">
                  <c:v>1 mg/mL</c:v>
                </c:pt>
                <c:pt idx="1">
                  <c:v>0.5 mg/mL</c:v>
                </c:pt>
                <c:pt idx="2">
                  <c:v>0.1 mg/mL</c:v>
                </c:pt>
                <c:pt idx="3">
                  <c:v>ctrl</c:v>
                </c:pt>
              </c:strCache>
            </c:strRef>
          </c:cat>
          <c:val>
            <c:numRef>
              <c:f>'Рис 1Г'!$B$21:$E$21</c:f>
              <c:numCache>
                <c:formatCode>0.000</c:formatCode>
                <c:ptCount val="4"/>
                <c:pt idx="0">
                  <c:v>0.16138333333333335</c:v>
                </c:pt>
                <c:pt idx="1">
                  <c:v>0.15488333333333335</c:v>
                </c:pt>
                <c:pt idx="2">
                  <c:v>0.75711666666666666</c:v>
                </c:pt>
                <c:pt idx="3">
                  <c:v>0.40841666666666665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1-437C-A69F-9B6C0533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04207384"/>
        <c:axId val="304327136"/>
      </c:barChart>
      <c:catAx>
        <c:axId val="30420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327136"/>
        <c:crosses val="autoZero"/>
        <c:auto val="1"/>
        <c:lblAlgn val="ctr"/>
        <c:lblOffset val="100"/>
        <c:noMultiLvlLbl val="0"/>
      </c:catAx>
      <c:valAx>
        <c:axId val="3043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OD550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20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57150</xdr:rowOff>
    </xdr:from>
    <xdr:to>
      <xdr:col>10</xdr:col>
      <xdr:colOff>165100</xdr:colOff>
      <xdr:row>17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CA1F9843-B896-4713-8EAA-C251092F9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155575</xdr:colOff>
      <xdr:row>18</xdr:row>
      <xdr:rowOff>152400</xdr:rowOff>
    </xdr:from>
    <xdr:to>
      <xdr:col>10</xdr:col>
      <xdr:colOff>158750</xdr:colOff>
      <xdr:row>34</xdr:row>
      <xdr:rowOff>6350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D28EB675-D21A-488B-B9C6-75451E6B5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155575</xdr:colOff>
      <xdr:row>35</xdr:row>
      <xdr:rowOff>165100</xdr:rowOff>
    </xdr:from>
    <xdr:to>
      <xdr:col>10</xdr:col>
      <xdr:colOff>203200</xdr:colOff>
      <xdr:row>51</xdr:row>
      <xdr:rowOff>95250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6BC3B4B8-6980-429C-A71F-AAEC03663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193675</xdr:colOff>
      <xdr:row>2</xdr:row>
      <xdr:rowOff>19050</xdr:rowOff>
    </xdr:from>
    <xdr:to>
      <xdr:col>11</xdr:col>
      <xdr:colOff>158750</xdr:colOff>
      <xdr:row>16</xdr:row>
      <xdr:rowOff>158750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E1918F1-3DAA-47F6-BBE0-6D519A065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193675</xdr:colOff>
      <xdr:row>19</xdr:row>
      <xdr:rowOff>12700</xdr:rowOff>
    </xdr:from>
    <xdr:to>
      <xdr:col>11</xdr:col>
      <xdr:colOff>120650</xdr:colOff>
      <xdr:row>33</xdr:row>
      <xdr:rowOff>127000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83AECEA7-433B-431A-9B91-4D34686E2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155575</xdr:colOff>
      <xdr:row>35</xdr:row>
      <xdr:rowOff>120650</xdr:rowOff>
    </xdr:from>
    <xdr:to>
      <xdr:col>11</xdr:col>
      <xdr:colOff>120650</xdr:colOff>
      <xdr:row>50</xdr:row>
      <xdr:rowOff>95250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1DE06B7D-7A35-41B7-8465-9BB67A978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</xdr:row>
      <xdr:rowOff>25400</xdr:rowOff>
    </xdr:from>
    <xdr:to>
      <xdr:col>10</xdr:col>
      <xdr:colOff>590550</xdr:colOff>
      <xdr:row>17</xdr:row>
      <xdr:rowOff>6350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8B7F96B7-0C45-4B0C-ABFA-8E6C0F147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152400</xdr:rowOff>
    </xdr:from>
    <xdr:to>
      <xdr:col>11</xdr:col>
      <xdr:colOff>120650</xdr:colOff>
      <xdr:row>16</xdr:row>
      <xdr:rowOff>95250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47CBC494-E21F-48BC-88E2-C8833C1A95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593725</xdr:colOff>
      <xdr:row>8</xdr:row>
      <xdr:rowOff>114300</xdr:rowOff>
    </xdr:from>
    <xdr:to>
      <xdr:col>16</xdr:col>
      <xdr:colOff>577850</xdr:colOff>
      <xdr:row>23</xdr:row>
      <xdr:rowOff>101600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3AAC1939-C612-490A-B56D-B5381682C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244475</xdr:colOff>
      <xdr:row>23</xdr:row>
      <xdr:rowOff>171450</xdr:rowOff>
    </xdr:from>
    <xdr:to>
      <xdr:col>11</xdr:col>
      <xdr:colOff>533400</xdr:colOff>
      <xdr:row>38</xdr:row>
      <xdr:rowOff>146050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1753ED93-0079-4C73-AF29-03B346DDF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</xdr:row>
      <xdr:rowOff>177800</xdr:rowOff>
    </xdr:from>
    <xdr:to>
      <xdr:col>10</xdr:col>
      <xdr:colOff>571500</xdr:colOff>
      <xdr:row>16</xdr:row>
      <xdr:rowOff>63500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C619D9CD-E6E2-4BB1-9D5F-4A2198761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17</xdr:row>
      <xdr:rowOff>69850</xdr:rowOff>
    </xdr:from>
    <xdr:to>
      <xdr:col>11</xdr:col>
      <xdr:colOff>292100</xdr:colOff>
      <xdr:row>32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B93FD333-FB93-4B43-95CF-7CA8E007E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422275</xdr:colOff>
      <xdr:row>3</xdr:row>
      <xdr:rowOff>88900</xdr:rowOff>
    </xdr:from>
    <xdr:to>
      <xdr:col>8</xdr:col>
      <xdr:colOff>215900</xdr:colOff>
      <xdr:row>15</xdr:row>
      <xdr:rowOff>158750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34BD28B-6889-453B-9EC1-CA7BF5666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206375</xdr:colOff>
      <xdr:row>12</xdr:row>
      <xdr:rowOff>25400</xdr:rowOff>
    </xdr:from>
    <xdr:to>
      <xdr:col>13</xdr:col>
      <xdr:colOff>12700</xdr:colOff>
      <xdr:row>25</xdr:row>
      <xdr:rowOff>63500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2FFB0D7B-B8E8-4992-B94C-A0DA60994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498475</xdr:colOff>
      <xdr:row>25</xdr:row>
      <xdr:rowOff>139700</xdr:rowOff>
    </xdr:from>
    <xdr:to>
      <xdr:col>13</xdr:col>
      <xdr:colOff>193675</xdr:colOff>
      <xdr:row>40</xdr:row>
      <xdr:rowOff>88900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2509FECB-07BB-4CC7-8F0D-690B21397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44</xdr:row>
      <xdr:rowOff>177800</xdr:rowOff>
    </xdr:from>
    <xdr:to>
      <xdr:col>6</xdr:col>
      <xdr:colOff>450850</xdr:colOff>
      <xdr:row>60</xdr:row>
      <xdr:rowOff>19050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412DDB7A-8BBD-4AF6-849C-BC0023D1B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174625</xdr:colOff>
      <xdr:row>45</xdr:row>
      <xdr:rowOff>0</xdr:rowOff>
    </xdr:from>
    <xdr:to>
      <xdr:col>14</xdr:col>
      <xdr:colOff>533400</xdr:colOff>
      <xdr:row>60</xdr:row>
      <xdr:rowOff>12700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D20D54B7-58B6-43E6-A4D0-CF8A9E4A0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sh_000/AppData/Roaming/Microsoft/AddIns/RealStat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coxon Table"/>
      <sheetName val="Mann Table"/>
      <sheetName val="RSign Table"/>
      <sheetName val="Runs Table"/>
      <sheetName val="KS Table"/>
      <sheetName val="Lil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RealStats"/>
    </sheetNames>
    <definedNames>
      <definedName name="MANN_EXACT"/>
      <definedName name="MCRIT"/>
      <definedName name="RANK_SUM"/>
      <definedName name="TiesCorrec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exander Grishin" id="{F2B021D6-7B54-4B7E-856F-1BDB40AB2289}" userId="a4b550f62eef56cc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19-01-17T12:10:15.16" personId="{F2B021D6-7B54-4B7E-856F-1BDB40AB2289}" id="{36E24324-546D-40CE-96E3-BF20D6E7F7CE}">
    <text>outlier, not used in calculations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"/>
  <sheetViews>
    <sheetView workbookViewId="0">
      <selection activeCell="L12" sqref="L12"/>
    </sheetView>
  </sheetViews>
  <sheetFormatPr defaultRowHeight="15" x14ac:dyDescent="0.25"/>
  <cols>
    <col min="1" max="1" width="15.140625" customWidth="1"/>
    <col min="2" max="2" width="10.140625" bestFit="1" customWidth="1"/>
  </cols>
  <sheetData>
    <row r="1" spans="1:4" x14ac:dyDescent="0.25">
      <c r="A1" t="s">
        <v>26</v>
      </c>
    </row>
    <row r="2" spans="1:4" x14ac:dyDescent="0.25">
      <c r="A2" t="s">
        <v>25</v>
      </c>
      <c r="B2" s="5">
        <v>42538</v>
      </c>
    </row>
    <row r="3" spans="1:4" x14ac:dyDescent="0.25">
      <c r="B3" s="3" t="s">
        <v>0</v>
      </c>
      <c r="C3" s="3" t="s">
        <v>1</v>
      </c>
      <c r="D3" s="3" t="s">
        <v>2</v>
      </c>
    </row>
    <row r="4" spans="1:4" x14ac:dyDescent="0.25">
      <c r="B4" s="2">
        <v>0.19739999999999999</v>
      </c>
      <c r="C4" s="2">
        <v>0.79830000000000001</v>
      </c>
      <c r="D4" s="2">
        <v>0.65449999999999997</v>
      </c>
    </row>
    <row r="5" spans="1:4" x14ac:dyDescent="0.25">
      <c r="B5" s="2">
        <v>0.17649999999999999</v>
      </c>
      <c r="C5" s="2">
        <v>0.74060000000000004</v>
      </c>
      <c r="D5" s="2">
        <v>0.69030000000000002</v>
      </c>
    </row>
    <row r="6" spans="1:4" x14ac:dyDescent="0.25">
      <c r="B6" s="2">
        <v>0.1694</v>
      </c>
      <c r="C6" s="2">
        <v>0.72019999999999995</v>
      </c>
      <c r="D6" s="2">
        <v>0.64239999999999997</v>
      </c>
    </row>
    <row r="7" spans="1:4" x14ac:dyDescent="0.25">
      <c r="B7" s="2">
        <v>0.1734</v>
      </c>
      <c r="C7" s="2">
        <v>0.66659999999999997</v>
      </c>
      <c r="D7" s="2">
        <v>0.63339999999999996</v>
      </c>
    </row>
    <row r="8" spans="1:4" x14ac:dyDescent="0.25">
      <c r="B8" s="2">
        <v>0.17829999999999999</v>
      </c>
      <c r="C8" s="2">
        <v>0.7833</v>
      </c>
      <c r="D8" s="2">
        <v>0.68189999999999995</v>
      </c>
    </row>
    <row r="9" spans="1:4" x14ac:dyDescent="0.25">
      <c r="B9" s="2">
        <v>0.17019999999999999</v>
      </c>
      <c r="C9" s="2">
        <v>0.73019999999999996</v>
      </c>
      <c r="D9" s="2">
        <v>0.75780000000000003</v>
      </c>
    </row>
    <row r="10" spans="1:4" x14ac:dyDescent="0.25">
      <c r="B10" s="2">
        <v>0.19089999999999999</v>
      </c>
      <c r="C10" s="2">
        <v>0.68300000000000005</v>
      </c>
      <c r="D10" s="2">
        <v>0.65329999999999999</v>
      </c>
    </row>
    <row r="11" spans="1:4" x14ac:dyDescent="0.25">
      <c r="B11" s="2">
        <v>0.17230000000000001</v>
      </c>
      <c r="C11" s="2">
        <v>0.68149999999999999</v>
      </c>
      <c r="D11" s="2">
        <v>0.63049999999999995</v>
      </c>
    </row>
    <row r="12" spans="1:4" x14ac:dyDescent="0.25">
      <c r="B12" s="2">
        <v>0.1522</v>
      </c>
      <c r="C12" s="2">
        <v>0.67879999999999996</v>
      </c>
      <c r="D12" s="2">
        <v>0.65190000000000003</v>
      </c>
    </row>
    <row r="13" spans="1:4" x14ac:dyDescent="0.25">
      <c r="B13" s="2">
        <v>0.17560000000000001</v>
      </c>
      <c r="C13" s="2">
        <v>0.67369999999999997</v>
      </c>
      <c r="D13" s="2">
        <v>0.65949999999999998</v>
      </c>
    </row>
    <row r="14" spans="1:4" x14ac:dyDescent="0.25">
      <c r="B14" s="15">
        <v>0.69159999999999999</v>
      </c>
      <c r="C14" s="2">
        <v>0.70020000000000004</v>
      </c>
      <c r="D14" s="2">
        <v>0.67279999999999995</v>
      </c>
    </row>
    <row r="15" spans="1:4" x14ac:dyDescent="0.25">
      <c r="B15" s="2">
        <v>0.16370000000000001</v>
      </c>
      <c r="C15" s="2">
        <v>0.76480000000000004</v>
      </c>
      <c r="D15" s="2">
        <v>0.62209999999999999</v>
      </c>
    </row>
    <row r="16" spans="1:4" x14ac:dyDescent="0.25">
      <c r="A16" s="12" t="s">
        <v>23</v>
      </c>
      <c r="B16" s="4">
        <f>AVERAGE(B4:B13,B15)</f>
        <v>0.17453636363636363</v>
      </c>
      <c r="C16" s="4">
        <f>AVERAGE(C4:C15)</f>
        <v>0.71843333333333315</v>
      </c>
      <c r="D16" s="4">
        <f>AVERAGE(D4:D15)</f>
        <v>0.66253333333333331</v>
      </c>
    </row>
    <row r="17" spans="1:33" x14ac:dyDescent="0.25">
      <c r="A17" s="16" t="s">
        <v>24</v>
      </c>
      <c r="B17" s="17">
        <f>_xlfn.STDEV.S(B4:B13,B15)</f>
        <v>1.2155185948990881E-2</v>
      </c>
      <c r="C17" s="17">
        <f>_xlfn.STDEV.S(C4:C15)</f>
        <v>4.5306819340888177E-2</v>
      </c>
      <c r="D17" s="17">
        <f>_xlfn.STDEV.S(D4:D15)</f>
        <v>3.6324730702457543E-2</v>
      </c>
    </row>
    <row r="18" spans="1:33" x14ac:dyDescent="0.25">
      <c r="M18" t="s">
        <v>46</v>
      </c>
      <c r="N18">
        <v>0.05</v>
      </c>
      <c r="O18" t="s">
        <v>81</v>
      </c>
      <c r="R18">
        <v>2.5321E-2</v>
      </c>
    </row>
    <row r="19" spans="1:33" x14ac:dyDescent="0.25">
      <c r="A19" s="57" t="s">
        <v>27</v>
      </c>
      <c r="B19" s="5">
        <v>42636</v>
      </c>
      <c r="C19" s="1"/>
      <c r="D19" s="1"/>
    </row>
    <row r="20" spans="1:33" x14ac:dyDescent="0.25">
      <c r="B20" t="s">
        <v>0</v>
      </c>
      <c r="C20" s="1" t="s">
        <v>1</v>
      </c>
      <c r="D20" s="1" t="s">
        <v>2</v>
      </c>
      <c r="M20" t="s">
        <v>31</v>
      </c>
      <c r="X20" t="s">
        <v>31</v>
      </c>
    </row>
    <row r="21" spans="1:33" x14ac:dyDescent="0.25">
      <c r="B21" s="2">
        <v>0.2167</v>
      </c>
      <c r="C21" s="2">
        <v>0.74660000000000004</v>
      </c>
      <c r="D21" s="2">
        <v>0.72040000000000004</v>
      </c>
    </row>
    <row r="22" spans="1:33" ht="15.75" thickBot="1" x14ac:dyDescent="0.3">
      <c r="B22" s="2">
        <v>0.20449999999999999</v>
      </c>
      <c r="C22" s="2">
        <v>0.59230000000000005</v>
      </c>
      <c r="D22" s="2">
        <v>0.62880000000000003</v>
      </c>
      <c r="M22" t="s">
        <v>32</v>
      </c>
      <c r="P22" t="s">
        <v>33</v>
      </c>
      <c r="Q22">
        <v>0</v>
      </c>
      <c r="X22" t="s">
        <v>32</v>
      </c>
      <c r="AA22" t="s">
        <v>33</v>
      </c>
      <c r="AB22">
        <v>0</v>
      </c>
    </row>
    <row r="23" spans="1:33" ht="15.75" thickTop="1" x14ac:dyDescent="0.25">
      <c r="B23" s="2">
        <v>0.24690000000000001</v>
      </c>
      <c r="C23" s="2">
        <v>0.65400000000000003</v>
      </c>
      <c r="D23" s="2">
        <v>0.7903</v>
      </c>
      <c r="M23" s="18" t="s">
        <v>34</v>
      </c>
      <c r="N23" s="18" t="s">
        <v>35</v>
      </c>
      <c r="O23" s="18" t="s">
        <v>36</v>
      </c>
      <c r="P23" s="18" t="s">
        <v>37</v>
      </c>
      <c r="Q23" s="18" t="s">
        <v>38</v>
      </c>
      <c r="X23" s="18" t="s">
        <v>34</v>
      </c>
      <c r="Y23" s="18" t="s">
        <v>35</v>
      </c>
      <c r="Z23" s="18" t="s">
        <v>36</v>
      </c>
      <c r="AA23" s="18" t="s">
        <v>37</v>
      </c>
      <c r="AB23" s="18" t="s">
        <v>38</v>
      </c>
    </row>
    <row r="24" spans="1:33" x14ac:dyDescent="0.25">
      <c r="B24" s="2">
        <v>0.22950000000000001</v>
      </c>
      <c r="C24" s="2">
        <v>0.59540000000000004</v>
      </c>
      <c r="D24" s="2">
        <v>0.78159999999999996</v>
      </c>
      <c r="M24" s="12" t="str">
        <f>B20</f>
        <v>gal</v>
      </c>
      <c r="N24">
        <f>COUNT(B21:B32)</f>
        <v>12</v>
      </c>
      <c r="O24" s="2">
        <f>AVERAGE(B21:B32)</f>
        <v>0.19551666666666667</v>
      </c>
      <c r="P24">
        <f>VAR(B21:B32)</f>
        <v>1.0220942424242409E-3</v>
      </c>
      <c r="X24" s="35" t="str">
        <f>C20</f>
        <v>glu</v>
      </c>
      <c r="Y24">
        <f>COUNT(C21:C32)</f>
        <v>12</v>
      </c>
      <c r="Z24" s="2">
        <f>AVERAGE(C21:C32)</f>
        <v>0.65477500000000011</v>
      </c>
      <c r="AA24">
        <f>VAR(C21:C32)</f>
        <v>3.980985681818182E-3</v>
      </c>
    </row>
    <row r="25" spans="1:33" x14ac:dyDescent="0.25">
      <c r="B25" s="2">
        <v>0.2137</v>
      </c>
      <c r="C25" s="2">
        <v>0.62690000000000001</v>
      </c>
      <c r="D25" s="2">
        <v>0.76080000000000003</v>
      </c>
      <c r="M25" s="35" t="str">
        <f>D20</f>
        <v>ctrl</v>
      </c>
      <c r="N25">
        <f>COUNT(D21:D32)</f>
        <v>12</v>
      </c>
      <c r="O25" s="2">
        <f>AVERAGE(D21:D32)</f>
        <v>0.70885833333333326</v>
      </c>
      <c r="P25">
        <f>VAR(D21:D32)</f>
        <v>3.5707390151515149E-3</v>
      </c>
      <c r="X25" s="35" t="str">
        <f>D20</f>
        <v>ctrl</v>
      </c>
      <c r="Y25">
        <f>COUNT(D21:D32)</f>
        <v>12</v>
      </c>
      <c r="Z25" s="2">
        <f>AVERAGE(D21:D32)</f>
        <v>0.70885833333333326</v>
      </c>
      <c r="AA25">
        <f>VAR(D21:D32)</f>
        <v>3.5707390151515149E-3</v>
      </c>
    </row>
    <row r="26" spans="1:33" x14ac:dyDescent="0.25">
      <c r="B26" s="2">
        <v>0.20699999999999999</v>
      </c>
      <c r="C26" s="2">
        <v>0.66110000000000002</v>
      </c>
      <c r="D26" s="2">
        <v>0.70830000000000004</v>
      </c>
      <c r="M26" s="19" t="s">
        <v>39</v>
      </c>
      <c r="N26" s="19"/>
      <c r="O26" s="19"/>
      <c r="P26" s="19">
        <f>((N24-1)*P24+(N25-1)*P25)/(N24+N25-2)</f>
        <v>2.296416628787878E-3</v>
      </c>
      <c r="Q26" s="19">
        <f>ABS(O24-O25-Q22)/SQRT(P26)</f>
        <v>10.712261721251217</v>
      </c>
      <c r="X26" s="19" t="s">
        <v>39</v>
      </c>
      <c r="Y26" s="19"/>
      <c r="Z26" s="19"/>
      <c r="AA26" s="19">
        <f>((Y24-1)*AA24+(Y25-1)*AA25)/(Y24+Y25-2)</f>
        <v>3.7758623484848482E-3</v>
      </c>
      <c r="AB26" s="19">
        <f>ABS(Z24-Z25-AB22)/SQRT(AA26)</f>
        <v>0.88014732634262061</v>
      </c>
    </row>
    <row r="27" spans="1:33" x14ac:dyDescent="0.25">
      <c r="B27" s="2">
        <v>0.18809999999999999</v>
      </c>
      <c r="C27" s="2">
        <v>0.66359999999999997</v>
      </c>
      <c r="D27" s="2">
        <v>0.61209999999999998</v>
      </c>
    </row>
    <row r="28" spans="1:33" ht="15.75" thickBot="1" x14ac:dyDescent="0.3">
      <c r="B28" s="2">
        <v>0.19439999999999999</v>
      </c>
      <c r="C28" s="2">
        <v>0.55059999999999998</v>
      </c>
      <c r="D28" s="2">
        <v>0.67190000000000005</v>
      </c>
      <c r="M28" t="s">
        <v>40</v>
      </c>
      <c r="Q28" t="s">
        <v>41</v>
      </c>
      <c r="R28">
        <v>2.5321E-2</v>
      </c>
      <c r="X28" t="s">
        <v>40</v>
      </c>
      <c r="AB28" t="s">
        <v>41</v>
      </c>
      <c r="AC28">
        <v>2.5321E-2</v>
      </c>
    </row>
    <row r="29" spans="1:33" ht="15.75" thickTop="1" x14ac:dyDescent="0.25">
      <c r="B29" s="2">
        <v>0.1943</v>
      </c>
      <c r="C29" s="2">
        <v>0.74509999999999998</v>
      </c>
      <c r="D29" s="2">
        <v>0.7379</v>
      </c>
      <c r="M29" s="18" t="s">
        <v>42</v>
      </c>
      <c r="N29" s="18" t="s">
        <v>43</v>
      </c>
      <c r="O29" s="18" t="s">
        <v>44</v>
      </c>
      <c r="P29" s="18" t="s">
        <v>45</v>
      </c>
      <c r="Q29" s="18" t="s">
        <v>46</v>
      </c>
      <c r="R29" s="18" t="s">
        <v>47</v>
      </c>
      <c r="S29" s="18" t="s">
        <v>48</v>
      </c>
      <c r="T29" s="18" t="s">
        <v>49</v>
      </c>
      <c r="U29" s="18" t="s">
        <v>50</v>
      </c>
      <c r="V29" s="18" t="s">
        <v>51</v>
      </c>
      <c r="X29" s="18" t="s">
        <v>42</v>
      </c>
      <c r="Y29" s="18" t="s">
        <v>43</v>
      </c>
      <c r="Z29" s="18" t="s">
        <v>44</v>
      </c>
      <c r="AA29" s="18" t="s">
        <v>45</v>
      </c>
      <c r="AB29" s="18" t="s">
        <v>46</v>
      </c>
      <c r="AC29" s="18" t="s">
        <v>47</v>
      </c>
      <c r="AD29" s="18" t="s">
        <v>48</v>
      </c>
      <c r="AE29" s="18" t="s">
        <v>49</v>
      </c>
      <c r="AF29" s="18" t="s">
        <v>50</v>
      </c>
      <c r="AG29" s="18" t="s">
        <v>51</v>
      </c>
    </row>
    <row r="30" spans="1:33" x14ac:dyDescent="0.25">
      <c r="B30" s="2">
        <v>0.1638</v>
      </c>
      <c r="C30" s="2">
        <v>0.73270000000000002</v>
      </c>
      <c r="D30" s="2">
        <v>0.7006</v>
      </c>
      <c r="M30" t="s">
        <v>52</v>
      </c>
      <c r="N30">
        <f>SQRT(P26*(1/N24+1/N25))</f>
        <v>1.956364242154256E-2</v>
      </c>
      <c r="O30">
        <f>(ABS(O24-O25-Q22))/N30</f>
        <v>26.239575208213729</v>
      </c>
      <c r="P30">
        <f>N24+N25-2</f>
        <v>22</v>
      </c>
      <c r="Q30">
        <f>TDIST(O30,P30,1)</f>
        <v>2.1397368747373249E-18</v>
      </c>
      <c r="R30">
        <f>TINV(R28*2,P30)</f>
        <v>2.0675656097260955</v>
      </c>
      <c r="U30" s="20" t="str">
        <f>IF(Q30&lt;R28,"yes","no")</f>
        <v>yes</v>
      </c>
      <c r="V30">
        <f>SQRT(O30^2/(O30^2+P30))</f>
        <v>0.98439654474135974</v>
      </c>
      <c r="X30" t="s">
        <v>52</v>
      </c>
      <c r="Y30">
        <f>SQRT(AA26*(1/Y24+1/Y25))</f>
        <v>2.5086059702833789E-2</v>
      </c>
      <c r="Z30">
        <f>(ABS(Z24-Z25-AB22))/Y30</f>
        <v>2.1559118480142878</v>
      </c>
      <c r="AA30">
        <f>Y24+Y25-2</f>
        <v>22</v>
      </c>
      <c r="AB30">
        <f>TDIST(Z30,AA30,1)</f>
        <v>2.1145175244458924E-2</v>
      </c>
      <c r="AC30">
        <f>TINV(AC28*2,AA30)</f>
        <v>2.0675656097260955</v>
      </c>
      <c r="AF30" s="20" t="str">
        <f>IF(AB30&lt;AC28,"yes","no")</f>
        <v>yes</v>
      </c>
      <c r="AG30">
        <f>SQRT(Z30^2/(Z30^2+AA30))</f>
        <v>0.41763707821199886</v>
      </c>
    </row>
    <row r="31" spans="1:33" x14ac:dyDescent="0.25">
      <c r="B31" s="2">
        <v>0.14610000000000001</v>
      </c>
      <c r="C31" s="2">
        <v>0.67400000000000004</v>
      </c>
      <c r="D31" s="2">
        <v>0.75239999999999996</v>
      </c>
      <c r="M31" t="s">
        <v>53</v>
      </c>
      <c r="N31">
        <f>N30</f>
        <v>1.956364242154256E-2</v>
      </c>
      <c r="O31">
        <f t="shared" ref="O31:P31" si="0">O30</f>
        <v>26.239575208213729</v>
      </c>
      <c r="P31">
        <f t="shared" si="0"/>
        <v>22</v>
      </c>
      <c r="Q31">
        <f>TDIST(O31,P31,2)</f>
        <v>4.2794737494746498E-18</v>
      </c>
      <c r="R31">
        <f>TINV(R28,P31)</f>
        <v>2.3995417848043665</v>
      </c>
      <c r="S31">
        <f>(O24-O25)-R31*N31</f>
        <v>-0.56028544412012926</v>
      </c>
      <c r="T31">
        <f>(O24-O25)+R31*N31</f>
        <v>-0.46639788921320391</v>
      </c>
      <c r="U31" s="20" t="str">
        <f>IF(Q31&lt;R28,"yes","no")</f>
        <v>yes</v>
      </c>
      <c r="V31">
        <f>V30</f>
        <v>0.98439654474135974</v>
      </c>
      <c r="X31" t="s">
        <v>53</v>
      </c>
      <c r="Y31">
        <f>Y30</f>
        <v>2.5086059702833789E-2</v>
      </c>
      <c r="Z31">
        <f t="shared" ref="Z31:AA31" si="1">Z30</f>
        <v>2.1559118480142878</v>
      </c>
      <c r="AA31">
        <f t="shared" si="1"/>
        <v>22</v>
      </c>
      <c r="AB31">
        <f>TDIST(Z31,AA31,2)</f>
        <v>4.2290350488917848E-2</v>
      </c>
      <c r="AC31">
        <f>TINV(AC28,AA31)</f>
        <v>2.3995417848043665</v>
      </c>
      <c r="AD31">
        <f>(Z24-Z25)-AC31*Y31</f>
        <v>-0.11427838180637984</v>
      </c>
      <c r="AE31">
        <f>(Z24-Z25)+AC31*Y31</f>
        <v>6.1117151397135361E-3</v>
      </c>
      <c r="AF31" s="20" t="str">
        <f>IF(AB31&lt;AC28,"yes","no")</f>
        <v>no</v>
      </c>
      <c r="AG31">
        <f>AG30</f>
        <v>0.41763707821199886</v>
      </c>
    </row>
    <row r="32" spans="1:33" x14ac:dyDescent="0.25">
      <c r="B32" s="2">
        <v>0.14119999999999999</v>
      </c>
      <c r="C32" s="2">
        <v>0.61499999999999999</v>
      </c>
      <c r="D32" s="2">
        <v>0.64119999999999999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ht="15.75" thickBot="1" x14ac:dyDescent="0.3">
      <c r="A33" s="12" t="s">
        <v>23</v>
      </c>
      <c r="B33" s="4">
        <f>AVERAGE(B21:B32)</f>
        <v>0.19551666666666667</v>
      </c>
      <c r="C33" s="4">
        <f t="shared" ref="C33:D33" si="2">AVERAGE(C21:C32)</f>
        <v>0.65477500000000011</v>
      </c>
      <c r="D33" s="4">
        <f t="shared" si="2"/>
        <v>0.70885833333333326</v>
      </c>
      <c r="M33" t="s">
        <v>54</v>
      </c>
      <c r="Q33" t="s">
        <v>41</v>
      </c>
      <c r="R33">
        <f>R28</f>
        <v>2.5321E-2</v>
      </c>
      <c r="X33" t="s">
        <v>54</v>
      </c>
      <c r="AB33" t="s">
        <v>41</v>
      </c>
      <c r="AC33">
        <f>AC28</f>
        <v>2.5321E-2</v>
      </c>
    </row>
    <row r="34" spans="1:33" ht="15.75" thickTop="1" x14ac:dyDescent="0.25">
      <c r="A34" s="16" t="s">
        <v>24</v>
      </c>
      <c r="B34" s="17">
        <f>_xlfn.STDEV.S(B21:B32)</f>
        <v>3.1970208670326829E-2</v>
      </c>
      <c r="C34" s="17">
        <f t="shared" ref="C34:D34" si="3">_xlfn.STDEV.S(C21:C32)</f>
        <v>6.3095052752321093E-2</v>
      </c>
      <c r="D34" s="17">
        <f t="shared" si="3"/>
        <v>5.975566094648703E-2</v>
      </c>
      <c r="M34" s="18" t="s">
        <v>42</v>
      </c>
      <c r="N34" s="18" t="s">
        <v>43</v>
      </c>
      <c r="O34" s="18" t="s">
        <v>44</v>
      </c>
      <c r="P34" s="18" t="s">
        <v>45</v>
      </c>
      <c r="Q34" s="18" t="s">
        <v>46</v>
      </c>
      <c r="R34" s="18" t="s">
        <v>47</v>
      </c>
      <c r="S34" s="18" t="s">
        <v>48</v>
      </c>
      <c r="T34" s="18" t="s">
        <v>49</v>
      </c>
      <c r="U34" s="18" t="s">
        <v>50</v>
      </c>
      <c r="V34" s="18" t="s">
        <v>51</v>
      </c>
      <c r="X34" s="18" t="s">
        <v>42</v>
      </c>
      <c r="Y34" s="18" t="s">
        <v>43</v>
      </c>
      <c r="Z34" s="18" t="s">
        <v>44</v>
      </c>
      <c r="AA34" s="18" t="s">
        <v>45</v>
      </c>
      <c r="AB34" s="18" t="s">
        <v>46</v>
      </c>
      <c r="AC34" s="18" t="s">
        <v>47</v>
      </c>
      <c r="AD34" s="18" t="s">
        <v>48</v>
      </c>
      <c r="AE34" s="18" t="s">
        <v>49</v>
      </c>
      <c r="AF34" s="18" t="s">
        <v>50</v>
      </c>
      <c r="AG34" s="18" t="s">
        <v>51</v>
      </c>
    </row>
    <row r="35" spans="1:33" x14ac:dyDescent="0.25">
      <c r="M35" t="s">
        <v>52</v>
      </c>
      <c r="N35">
        <f>SQRT(P24/N24+P25/N25)</f>
        <v>1.956364242154256E-2</v>
      </c>
      <c r="O35">
        <f>(ABS(O24-O25-Q22))/N35</f>
        <v>26.239575208213729</v>
      </c>
      <c r="P35">
        <f>(P24/N24+P25/N25)^2/((P24/N24)^2/(N24-1)+(P25/N25)^2/(N25-1))</f>
        <v>16.82042410717165</v>
      </c>
      <c r="Q35">
        <f>TDIST(O35,ROUND(P35,0),1)</f>
        <v>1.7003852846840993E-15</v>
      </c>
      <c r="R35">
        <f>TINV(R33*2,ROUND(P35,0))</f>
        <v>2.1032315418859198</v>
      </c>
      <c r="U35" s="20" t="str">
        <f>IF(Q35&lt;R33,"yes","no")</f>
        <v>yes</v>
      </c>
      <c r="V35">
        <f>SQRT(O35^2/(O35^2+P35))</f>
        <v>0.98800435164988587</v>
      </c>
      <c r="X35" t="s">
        <v>52</v>
      </c>
      <c r="Y35">
        <f>SQRT(AA24/Y24+AA25/Y25)</f>
        <v>2.5086059702833792E-2</v>
      </c>
      <c r="Z35">
        <f>(ABS(Z24-Z25-AB22))/Y35</f>
        <v>2.1559118480142874</v>
      </c>
      <c r="AA35">
        <f>(AA24/Y24+AA25/Y25)^2/((AA24/Y24)^2/(Y24-1)+(AA25/Y25)^2/(Y25-1))</f>
        <v>21.935264768600668</v>
      </c>
      <c r="AB35">
        <f>TDIST(Z35,ROUND(AA35,0),1)</f>
        <v>2.1145175244458976E-2</v>
      </c>
      <c r="AC35">
        <f>TINV(AC33*2,ROUND(AA35,0))</f>
        <v>2.0675656097260955</v>
      </c>
      <c r="AF35" s="20" t="str">
        <f>IF(AB35&lt;AC33,"yes","no")</f>
        <v>yes</v>
      </c>
      <c r="AG35">
        <f>SQRT(Z35^2/(Z35^2+AA35))</f>
        <v>0.41814528212552504</v>
      </c>
    </row>
    <row r="36" spans="1:33" x14ac:dyDescent="0.25">
      <c r="B36" s="5">
        <v>42650</v>
      </c>
      <c r="M36" t="s">
        <v>53</v>
      </c>
      <c r="N36">
        <f>N35</f>
        <v>1.956364242154256E-2</v>
      </c>
      <c r="O36">
        <f t="shared" ref="O36:P36" si="4">O35</f>
        <v>26.239575208213729</v>
      </c>
      <c r="P36">
        <f t="shared" si="4"/>
        <v>16.82042410717165</v>
      </c>
      <c r="Q36" s="12">
        <f>TDIST(O36,ROUND(P36,0),2)</f>
        <v>3.4007705693681987E-15</v>
      </c>
      <c r="R36">
        <f>TINV(R33,ROUND(P36,0))</f>
        <v>2.4517849086827987</v>
      </c>
      <c r="S36">
        <f>(O24-O25)-R36*N36</f>
        <v>-0.56130750991467127</v>
      </c>
      <c r="T36">
        <f>(O24-O25)+R36*N36</f>
        <v>-0.4653758234186619</v>
      </c>
      <c r="U36" s="37" t="str">
        <f>IF(Q36&lt;R33,"yes","no")</f>
        <v>yes</v>
      </c>
      <c r="V36">
        <f>V35</f>
        <v>0.98800435164988587</v>
      </c>
      <c r="X36" t="s">
        <v>53</v>
      </c>
      <c r="Y36">
        <f>Y35</f>
        <v>2.5086059702833792E-2</v>
      </c>
      <c r="Z36">
        <f t="shared" ref="Z36:AA36" si="5">Z35</f>
        <v>2.1559118480142874</v>
      </c>
      <c r="AA36">
        <f t="shared" si="5"/>
        <v>21.935264768600668</v>
      </c>
      <c r="AB36" s="12">
        <f>TDIST(Z36,ROUND(AA36,0),2)</f>
        <v>4.2290350488917952E-2</v>
      </c>
      <c r="AC36">
        <f>TINV(AC33,ROUND(AA36,0))</f>
        <v>2.3995417848043665</v>
      </c>
      <c r="AD36">
        <f>(Z24-Z25)-AC36*Y36</f>
        <v>-0.11427838180637984</v>
      </c>
      <c r="AE36">
        <f>(Z24-Z25)+AC36*Y36</f>
        <v>6.111715139713543E-3</v>
      </c>
      <c r="AF36" s="37" t="str">
        <f>IF(AB36&lt;AC33,"yes","no")</f>
        <v>no</v>
      </c>
      <c r="AG36">
        <f>AG35</f>
        <v>0.41814528212552504</v>
      </c>
    </row>
    <row r="37" spans="1:33" x14ac:dyDescent="0.25">
      <c r="B37" s="3" t="s">
        <v>0</v>
      </c>
      <c r="C37" s="3" t="s">
        <v>1</v>
      </c>
      <c r="D37" s="3" t="s">
        <v>2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x14ac:dyDescent="0.25">
      <c r="B38" s="1">
        <v>0.25180000000000002</v>
      </c>
      <c r="C38" s="1">
        <v>0.67879999999999996</v>
      </c>
      <c r="D38" s="1">
        <v>0.51900000000000002</v>
      </c>
    </row>
    <row r="39" spans="1:33" x14ac:dyDescent="0.25">
      <c r="B39" s="1">
        <v>0.24560000000000001</v>
      </c>
      <c r="C39" s="1">
        <v>0.68620000000000003</v>
      </c>
      <c r="D39" s="1">
        <v>0.55269999999999997</v>
      </c>
    </row>
    <row r="40" spans="1:33" x14ac:dyDescent="0.25">
      <c r="B40" s="1">
        <v>0.21609999999999999</v>
      </c>
      <c r="C40" s="1">
        <v>0.7077</v>
      </c>
      <c r="D40" s="1">
        <v>0.59819999999999995</v>
      </c>
    </row>
    <row r="41" spans="1:33" x14ac:dyDescent="0.25">
      <c r="B41" s="1">
        <v>0.2442</v>
      </c>
      <c r="C41" s="1">
        <v>0.66890000000000005</v>
      </c>
      <c r="D41" s="1">
        <v>0.59109999999999996</v>
      </c>
    </row>
    <row r="42" spans="1:33" x14ac:dyDescent="0.25">
      <c r="B42" s="1">
        <v>0.24410000000000001</v>
      </c>
      <c r="C42" s="1">
        <v>0.64870000000000005</v>
      </c>
      <c r="D42" s="1">
        <v>0.59599999999999997</v>
      </c>
    </row>
    <row r="43" spans="1:33" x14ac:dyDescent="0.25">
      <c r="B43" s="1">
        <v>0.22789999999999999</v>
      </c>
      <c r="C43" s="1">
        <v>0.70889999999999997</v>
      </c>
      <c r="D43" s="1">
        <v>0.50270000000000004</v>
      </c>
    </row>
    <row r="44" spans="1:33" x14ac:dyDescent="0.25">
      <c r="B44" s="1">
        <v>0.1966</v>
      </c>
      <c r="C44" s="1">
        <v>0.6169</v>
      </c>
      <c r="D44" s="1">
        <v>0.5373</v>
      </c>
    </row>
    <row r="45" spans="1:33" x14ac:dyDescent="0.25">
      <c r="B45" s="1">
        <v>0.22559999999999999</v>
      </c>
      <c r="C45" s="1">
        <v>0.66479999999999995</v>
      </c>
      <c r="D45" s="1">
        <v>0.5534</v>
      </c>
    </row>
    <row r="46" spans="1:33" x14ac:dyDescent="0.25">
      <c r="B46" s="1">
        <v>0.2135</v>
      </c>
      <c r="C46" s="1">
        <v>0.64959999999999996</v>
      </c>
      <c r="D46" s="1">
        <v>0.54820000000000002</v>
      </c>
    </row>
    <row r="47" spans="1:33" x14ac:dyDescent="0.25">
      <c r="B47" s="1">
        <v>0.19700000000000001</v>
      </c>
      <c r="C47" s="1">
        <v>0.59719999999999995</v>
      </c>
      <c r="D47" s="1">
        <v>0.55869999999999997</v>
      </c>
    </row>
    <row r="48" spans="1:33" x14ac:dyDescent="0.25">
      <c r="B48" s="1">
        <v>0.20979999999999999</v>
      </c>
      <c r="C48" s="1">
        <v>0.63570000000000004</v>
      </c>
      <c r="D48" s="1">
        <v>0.52159999999999995</v>
      </c>
    </row>
    <row r="49" spans="1:4" x14ac:dyDescent="0.25">
      <c r="B49" s="1">
        <v>0.1772</v>
      </c>
      <c r="C49" s="1">
        <v>0.63200000000000001</v>
      </c>
      <c r="D49" s="1">
        <v>0.4708</v>
      </c>
    </row>
    <row r="50" spans="1:4" x14ac:dyDescent="0.25">
      <c r="A50" s="12" t="s">
        <v>23</v>
      </c>
      <c r="B50" s="4">
        <f>AVERAGE(B38:B49)</f>
        <v>0.22078333333333333</v>
      </c>
      <c r="C50" s="4">
        <f t="shared" ref="C50" si="6">AVERAGE(C38:C49)</f>
        <v>0.65794999999999992</v>
      </c>
      <c r="D50" s="4">
        <f t="shared" ref="D50" si="7">AVERAGE(D38:D49)</f>
        <v>0.54580833333333334</v>
      </c>
    </row>
    <row r="51" spans="1:4" x14ac:dyDescent="0.25">
      <c r="A51" s="16" t="s">
        <v>24</v>
      </c>
      <c r="B51" s="17">
        <f>_xlfn.STDEV.S(B38:B49)</f>
        <v>2.333424457095129E-2</v>
      </c>
      <c r="C51" s="17">
        <f t="shared" ref="C51:D51" si="8">_xlfn.STDEV.S(C38:C49)</f>
        <v>3.4601615831949498E-2</v>
      </c>
      <c r="D51" s="17">
        <f t="shared" si="8"/>
        <v>3.8676007557736092E-2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opLeftCell="A13" workbookViewId="0">
      <selection activeCell="R3" sqref="R3"/>
    </sheetView>
  </sheetViews>
  <sheetFormatPr defaultRowHeight="15" x14ac:dyDescent="0.25"/>
  <cols>
    <col min="2" max="2" width="10.5703125" customWidth="1"/>
  </cols>
  <sheetData>
    <row r="1" spans="1:33" x14ac:dyDescent="0.25">
      <c r="A1" t="s">
        <v>30</v>
      </c>
    </row>
    <row r="2" spans="1:33" x14ac:dyDescent="0.25">
      <c r="A2" t="s">
        <v>25</v>
      </c>
      <c r="B2" s="5">
        <v>42577</v>
      </c>
      <c r="C2" s="5"/>
    </row>
    <row r="3" spans="1:33" x14ac:dyDescent="0.25">
      <c r="A3" s="57" t="s">
        <v>27</v>
      </c>
      <c r="B3" s="3" t="s">
        <v>3</v>
      </c>
      <c r="C3" s="3" t="s">
        <v>0</v>
      </c>
      <c r="D3" s="3" t="s">
        <v>1</v>
      </c>
      <c r="E3" s="3" t="s">
        <v>4</v>
      </c>
      <c r="M3" t="s">
        <v>46</v>
      </c>
      <c r="N3">
        <v>0.05</v>
      </c>
      <c r="O3" t="s">
        <v>80</v>
      </c>
      <c r="R3">
        <v>1.0206218313011495E-2</v>
      </c>
    </row>
    <row r="4" spans="1:33" x14ac:dyDescent="0.25">
      <c r="B4" s="2">
        <v>0.68989999999999996</v>
      </c>
      <c r="C4" s="2">
        <v>0.49330000000000002</v>
      </c>
      <c r="D4" s="2">
        <v>1.101</v>
      </c>
      <c r="E4" s="2">
        <v>1.012</v>
      </c>
    </row>
    <row r="5" spans="1:33" x14ac:dyDescent="0.25">
      <c r="B5" s="2">
        <v>0.70279999999999998</v>
      </c>
      <c r="C5" s="2">
        <v>0.4667</v>
      </c>
      <c r="D5" s="2">
        <v>0.98599999999999999</v>
      </c>
      <c r="E5" s="2">
        <v>0.99139999999999995</v>
      </c>
      <c r="M5" t="s">
        <v>31</v>
      </c>
      <c r="X5" t="s">
        <v>31</v>
      </c>
    </row>
    <row r="6" spans="1:33" x14ac:dyDescent="0.25">
      <c r="B6" s="2">
        <v>0.70530000000000004</v>
      </c>
      <c r="C6" s="2">
        <v>0.45440000000000003</v>
      </c>
      <c r="D6" s="2">
        <v>0.95979999999999999</v>
      </c>
      <c r="E6" s="2">
        <v>0.9476</v>
      </c>
    </row>
    <row r="7" spans="1:33" ht="15.75" thickBot="1" x14ac:dyDescent="0.3">
      <c r="B7" s="2">
        <v>0.71440000000000003</v>
      </c>
      <c r="C7" s="2">
        <v>0.45350000000000001</v>
      </c>
      <c r="D7" s="2">
        <v>1.1528</v>
      </c>
      <c r="E7" s="2">
        <v>1.0290999999999999</v>
      </c>
      <c r="M7" t="s">
        <v>32</v>
      </c>
      <c r="P7" t="s">
        <v>33</v>
      </c>
      <c r="Q7">
        <v>0</v>
      </c>
      <c r="X7" t="s">
        <v>32</v>
      </c>
      <c r="AA7" t="s">
        <v>33</v>
      </c>
      <c r="AB7">
        <v>0</v>
      </c>
    </row>
    <row r="8" spans="1:33" ht="15.75" thickTop="1" x14ac:dyDescent="0.25">
      <c r="B8" s="2">
        <v>0.65739999999999998</v>
      </c>
      <c r="C8" s="2">
        <v>0.47649999999999998</v>
      </c>
      <c r="D8" s="2">
        <v>1.0497000000000001</v>
      </c>
      <c r="E8" s="2">
        <v>1.0078</v>
      </c>
      <c r="M8" s="18" t="s">
        <v>34</v>
      </c>
      <c r="N8" s="18" t="s">
        <v>35</v>
      </c>
      <c r="O8" s="18" t="s">
        <v>36</v>
      </c>
      <c r="P8" s="18" t="s">
        <v>37</v>
      </c>
      <c r="Q8" s="18" t="s">
        <v>38</v>
      </c>
      <c r="X8" s="18" t="s">
        <v>34</v>
      </c>
      <c r="Y8" s="18" t="s">
        <v>35</v>
      </c>
      <c r="Z8" s="18" t="s">
        <v>36</v>
      </c>
      <c r="AA8" s="18" t="s">
        <v>37</v>
      </c>
      <c r="AB8" s="18" t="s">
        <v>38</v>
      </c>
    </row>
    <row r="9" spans="1:33" x14ac:dyDescent="0.25">
      <c r="B9" s="2">
        <v>0.76670000000000005</v>
      </c>
      <c r="C9" s="2">
        <v>0.48149999999999998</v>
      </c>
      <c r="D9" s="2">
        <v>1.1283000000000001</v>
      </c>
      <c r="E9" s="2">
        <v>1.1701999999999999</v>
      </c>
      <c r="M9" s="12" t="str">
        <f>B3</f>
        <v>24h</v>
      </c>
      <c r="N9">
        <f>COUNT(B4:B15)</f>
        <v>12</v>
      </c>
      <c r="O9" s="2">
        <f>AVERAGE(B4:B15)</f>
        <v>0.72868333333333324</v>
      </c>
      <c r="P9">
        <f>VAR(B4:B15)</f>
        <v>2.6604360606060622E-3</v>
      </c>
      <c r="X9" s="12" t="str">
        <f>B3</f>
        <v>24h</v>
      </c>
      <c r="Y9">
        <f>COUNT(B4:B15)</f>
        <v>12</v>
      </c>
      <c r="Z9" s="2">
        <f>AVERAGE(B4:B15)</f>
        <v>0.72868333333333324</v>
      </c>
      <c r="AA9">
        <f>VAR(B4:B15)</f>
        <v>2.6604360606060622E-3</v>
      </c>
    </row>
    <row r="10" spans="1:33" x14ac:dyDescent="0.25">
      <c r="B10" s="2">
        <v>0.67079999999999995</v>
      </c>
      <c r="C10" s="2">
        <v>0.4355</v>
      </c>
      <c r="D10" s="2">
        <v>0.98050000000000004</v>
      </c>
      <c r="E10" s="2">
        <v>1.0101</v>
      </c>
      <c r="M10" s="12" t="str">
        <f>C3</f>
        <v>gal</v>
      </c>
      <c r="N10">
        <f>COUNT(C4:C15)</f>
        <v>12</v>
      </c>
      <c r="O10" s="2">
        <f>AVERAGE(C4:C15)</f>
        <v>0.4583416666666667</v>
      </c>
      <c r="P10">
        <f>VAR(C4:C15)</f>
        <v>5.5552083333333343E-4</v>
      </c>
      <c r="X10" s="12" t="str">
        <f>D3</f>
        <v>glu</v>
      </c>
      <c r="Y10">
        <f>COUNT(D4:D15)</f>
        <v>12</v>
      </c>
      <c r="Z10" s="2">
        <f>AVERAGE(D4:D15)</f>
        <v>1.0287833333333334</v>
      </c>
      <c r="AA10">
        <f>VAR(D4:D15)</f>
        <v>5.2887069696969718E-3</v>
      </c>
    </row>
    <row r="11" spans="1:33" x14ac:dyDescent="0.25">
      <c r="B11" s="2">
        <v>0.7681</v>
      </c>
      <c r="C11" s="2">
        <v>0.44359999999999999</v>
      </c>
      <c r="D11" s="2">
        <v>0.97209999999999996</v>
      </c>
      <c r="E11" s="2">
        <v>0.94769999999999999</v>
      </c>
      <c r="M11" s="19" t="s">
        <v>39</v>
      </c>
      <c r="N11" s="19"/>
      <c r="O11" s="19"/>
      <c r="P11" s="19">
        <f>((N9-1)*P9+(N10-1)*P10)/(N9+N10-2)</f>
        <v>1.6079784469696977E-3</v>
      </c>
      <c r="Q11" s="19">
        <f>ABS(O9-O10-Q7)/SQRT(P11)</f>
        <v>6.7417535930950709</v>
      </c>
      <c r="X11" s="19" t="s">
        <v>39</v>
      </c>
      <c r="Y11" s="19"/>
      <c r="Z11" s="19"/>
      <c r="AA11" s="19">
        <f>((Y9-1)*AA9+(Y10-1)*AA10)/(Y9+Y10-2)</f>
        <v>3.9745715151515175E-3</v>
      </c>
      <c r="AB11" s="19">
        <f>ABS(Z9-Z10-AB7)/SQRT(AA11)</f>
        <v>4.760152184531445</v>
      </c>
    </row>
    <row r="12" spans="1:33" x14ac:dyDescent="0.25">
      <c r="B12" s="2">
        <v>0.68799999999999994</v>
      </c>
      <c r="C12" s="2">
        <v>0.41789999999999999</v>
      </c>
      <c r="D12" s="2">
        <v>0.91830000000000001</v>
      </c>
      <c r="E12" s="2">
        <v>0.91</v>
      </c>
    </row>
    <row r="13" spans="1:33" ht="15.75" thickBot="1" x14ac:dyDescent="0.3">
      <c r="B13" s="2">
        <v>0.78120000000000001</v>
      </c>
      <c r="C13" s="2">
        <v>0.42709999999999998</v>
      </c>
      <c r="D13" s="2">
        <v>1.0626</v>
      </c>
      <c r="E13" s="2">
        <v>0.92369999999999997</v>
      </c>
      <c r="M13" t="s">
        <v>40</v>
      </c>
      <c r="Q13" t="s">
        <v>41</v>
      </c>
      <c r="R13">
        <v>1.0206218313011495E-2</v>
      </c>
      <c r="X13" t="s">
        <v>40</v>
      </c>
      <c r="AB13" t="s">
        <v>41</v>
      </c>
      <c r="AC13">
        <v>1.0206218313011495E-2</v>
      </c>
    </row>
    <row r="14" spans="1:33" ht="15.75" thickTop="1" x14ac:dyDescent="0.25">
      <c r="B14" s="2">
        <v>0.78600000000000003</v>
      </c>
      <c r="C14" s="2">
        <v>0.47660000000000002</v>
      </c>
      <c r="D14" s="2">
        <v>0.9899</v>
      </c>
      <c r="E14" s="2">
        <v>0.99390000000000001</v>
      </c>
      <c r="M14" s="18" t="s">
        <v>42</v>
      </c>
      <c r="N14" s="18" t="s">
        <v>43</v>
      </c>
      <c r="O14" s="18" t="s">
        <v>44</v>
      </c>
      <c r="P14" s="18" t="s">
        <v>45</v>
      </c>
      <c r="Q14" s="18" t="s">
        <v>46</v>
      </c>
      <c r="R14" s="18" t="s">
        <v>47</v>
      </c>
      <c r="S14" s="18" t="s">
        <v>48</v>
      </c>
      <c r="T14" s="18" t="s">
        <v>49</v>
      </c>
      <c r="U14" s="18" t="s">
        <v>50</v>
      </c>
      <c r="V14" s="18" t="s">
        <v>51</v>
      </c>
      <c r="X14" s="18" t="s">
        <v>42</v>
      </c>
      <c r="Y14" s="18" t="s">
        <v>43</v>
      </c>
      <c r="Z14" s="18" t="s">
        <v>44</v>
      </c>
      <c r="AA14" s="18" t="s">
        <v>45</v>
      </c>
      <c r="AB14" s="18" t="s">
        <v>46</v>
      </c>
      <c r="AC14" s="18" t="s">
        <v>47</v>
      </c>
      <c r="AD14" s="18" t="s">
        <v>48</v>
      </c>
      <c r="AE14" s="18" t="s">
        <v>49</v>
      </c>
      <c r="AF14" s="18" t="s">
        <v>50</v>
      </c>
      <c r="AG14" s="18" t="s">
        <v>51</v>
      </c>
    </row>
    <row r="15" spans="1:33" x14ac:dyDescent="0.25">
      <c r="B15" s="2">
        <v>0.81359999999999999</v>
      </c>
      <c r="C15" s="2">
        <v>0.47349999999999998</v>
      </c>
      <c r="D15" s="2">
        <v>1.0444</v>
      </c>
      <c r="E15" s="2">
        <v>1.0466</v>
      </c>
      <c r="M15" t="s">
        <v>52</v>
      </c>
      <c r="N15">
        <f>SQRT(P11*(1/N9+1/N10))</f>
        <v>1.6370595829971583E-2</v>
      </c>
      <c r="O15">
        <f>(ABS(O9-O10-Q7))/N15</f>
        <v>16.513856274658014</v>
      </c>
      <c r="P15">
        <f>N9+N10-2</f>
        <v>22</v>
      </c>
      <c r="Q15">
        <f>TDIST(O15,P15,1)</f>
        <v>3.4955113738619269E-14</v>
      </c>
      <c r="R15">
        <f>TINV(R13*2,P15)</f>
        <v>2.498982825207873</v>
      </c>
      <c r="U15" s="20" t="str">
        <f>IF(Q15&lt;R13,"yes","no")</f>
        <v>yes</v>
      </c>
      <c r="V15">
        <f>SQRT(O15^2/(O15^2+P15))</f>
        <v>0.96195098536829804</v>
      </c>
      <c r="X15" t="s">
        <v>52</v>
      </c>
      <c r="Y15">
        <f>SQRT(AA11*(1/Y9+1/Y10))</f>
        <v>2.5737688044161742E-2</v>
      </c>
      <c r="Z15">
        <f>(ABS(Z9-Z10-AB7))/Y15</f>
        <v>11.659943950096711</v>
      </c>
      <c r="AA15">
        <f>Y9+Y10-2</f>
        <v>22</v>
      </c>
      <c r="AB15">
        <f>TDIST(Z15,AA15,1)</f>
        <v>3.4455107257041751E-11</v>
      </c>
      <c r="AC15">
        <f>TINV(AC13*2,AA15)</f>
        <v>2.498982825207873</v>
      </c>
      <c r="AF15" s="20" t="str">
        <f>IF(AB15&lt;AC13,"yes","no")</f>
        <v>yes</v>
      </c>
      <c r="AG15">
        <f>SQRT(Z15^2/(Z15^2+AA15))</f>
        <v>0.92774953612522237</v>
      </c>
    </row>
    <row r="16" spans="1:33" x14ac:dyDescent="0.25">
      <c r="A16" s="12" t="s">
        <v>23</v>
      </c>
      <c r="B16" s="4">
        <f>AVERAGE(B4:B15)</f>
        <v>0.72868333333333324</v>
      </c>
      <c r="C16" s="4">
        <f t="shared" ref="C16:E16" si="0">AVERAGE(C4:C15)</f>
        <v>0.4583416666666667</v>
      </c>
      <c r="D16" s="4">
        <f t="shared" si="0"/>
        <v>1.0287833333333334</v>
      </c>
      <c r="E16" s="4">
        <f t="shared" si="0"/>
        <v>0.99917499999999981</v>
      </c>
      <c r="M16" t="s">
        <v>53</v>
      </c>
      <c r="N16">
        <f>N15</f>
        <v>1.6370595829971583E-2</v>
      </c>
      <c r="O16">
        <f t="shared" ref="O16:P16" si="1">O15</f>
        <v>16.513856274658014</v>
      </c>
      <c r="P16">
        <f t="shared" si="1"/>
        <v>22</v>
      </c>
      <c r="Q16">
        <f>TDIST(O16,P16,2)</f>
        <v>6.9910227477238538E-14</v>
      </c>
      <c r="R16">
        <f>TINV(R13,P16)</f>
        <v>2.8097811571678966</v>
      </c>
      <c r="S16">
        <f>(O9-O10)-R16*N16</f>
        <v>0.22434387497200103</v>
      </c>
      <c r="T16">
        <f>(O9-O10)+R16*N16</f>
        <v>0.31633945836133204</v>
      </c>
      <c r="U16" s="20" t="str">
        <f>IF(Q16&lt;R13,"yes","no")</f>
        <v>yes</v>
      </c>
      <c r="V16">
        <f>V15</f>
        <v>0.96195098536829804</v>
      </c>
      <c r="X16" t="s">
        <v>53</v>
      </c>
      <c r="Y16">
        <f>Y15</f>
        <v>2.5737688044161742E-2</v>
      </c>
      <c r="Z16">
        <f t="shared" ref="Z16:AA16" si="2">Z15</f>
        <v>11.659943950096711</v>
      </c>
      <c r="AA16">
        <f t="shared" si="2"/>
        <v>22</v>
      </c>
      <c r="AB16">
        <f>TDIST(Z16,AA16,2)</f>
        <v>6.8910214514083502E-11</v>
      </c>
      <c r="AC16">
        <f>TINV(AC13,AA16)</f>
        <v>2.8097811571678966</v>
      </c>
      <c r="AD16">
        <f>(Z9-Z10)-AC16*Y16</f>
        <v>-0.37241727089555127</v>
      </c>
      <c r="AE16">
        <f>(Z9-Z10)+AC16*Y16</f>
        <v>-0.22778272910444902</v>
      </c>
      <c r="AF16" s="20" t="str">
        <f>IF(AB16&lt;AC13,"yes","no")</f>
        <v>yes</v>
      </c>
      <c r="AG16">
        <f>AG15</f>
        <v>0.92774953612522237</v>
      </c>
    </row>
    <row r="17" spans="1:33" x14ac:dyDescent="0.25">
      <c r="A17" s="16" t="s">
        <v>24</v>
      </c>
      <c r="B17" s="17">
        <f>_xlfn.STDEV.S(B4:B15)</f>
        <v>5.1579415085924174E-2</v>
      </c>
      <c r="C17" s="17">
        <f t="shared" ref="C17:E17" si="3">_xlfn.STDEV.S(C4:C15)</f>
        <v>2.3569489458478591E-2</v>
      </c>
      <c r="D17" s="17">
        <f t="shared" si="3"/>
        <v>7.2723496682275748E-2</v>
      </c>
      <c r="E17" s="17">
        <f t="shared" si="3"/>
        <v>6.8622155513162988E-2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5.75" thickBot="1" x14ac:dyDescent="0.3">
      <c r="M18" t="s">
        <v>54</v>
      </c>
      <c r="N18" s="9"/>
      <c r="O18" s="9"/>
      <c r="P18" s="9"/>
      <c r="Q18" s="9" t="s">
        <v>41</v>
      </c>
      <c r="R18" s="9">
        <f>R13</f>
        <v>1.0206218313011495E-2</v>
      </c>
      <c r="S18" s="9"/>
      <c r="T18" s="9"/>
      <c r="U18" s="9"/>
      <c r="V18" s="9"/>
      <c r="W18" s="9"/>
      <c r="X18" s="9" t="s">
        <v>54</v>
      </c>
      <c r="Y18" s="9"/>
      <c r="Z18" s="9"/>
      <c r="AA18" s="9"/>
      <c r="AB18" s="9" t="s">
        <v>41</v>
      </c>
      <c r="AC18" s="9">
        <f>AC13</f>
        <v>1.0206218313011495E-2</v>
      </c>
    </row>
    <row r="19" spans="1:33" ht="15.75" thickTop="1" x14ac:dyDescent="0.25">
      <c r="B19" t="s">
        <v>28</v>
      </c>
      <c r="M19" s="18" t="s">
        <v>42</v>
      </c>
      <c r="N19" s="18" t="s">
        <v>43</v>
      </c>
      <c r="O19" s="18" t="s">
        <v>44</v>
      </c>
      <c r="P19" s="18" t="s">
        <v>45</v>
      </c>
      <c r="Q19" s="18" t="s">
        <v>46</v>
      </c>
      <c r="R19" s="18" t="s">
        <v>47</v>
      </c>
      <c r="S19" s="18" t="s">
        <v>48</v>
      </c>
      <c r="T19" s="18" t="s">
        <v>49</v>
      </c>
      <c r="U19" s="18" t="s">
        <v>50</v>
      </c>
      <c r="V19" s="18" t="s">
        <v>51</v>
      </c>
      <c r="W19" s="9"/>
      <c r="X19" s="18" t="s">
        <v>42</v>
      </c>
      <c r="Y19" s="18" t="s">
        <v>43</v>
      </c>
      <c r="Z19" s="18" t="s">
        <v>44</v>
      </c>
      <c r="AA19" s="18" t="s">
        <v>45</v>
      </c>
      <c r="AB19" s="18" t="s">
        <v>46</v>
      </c>
      <c r="AC19" s="18" t="s">
        <v>47</v>
      </c>
      <c r="AD19" s="18" t="s">
        <v>48</v>
      </c>
      <c r="AE19" s="18" t="s">
        <v>49</v>
      </c>
      <c r="AF19" s="18" t="s">
        <v>50</v>
      </c>
      <c r="AG19" s="18" t="s">
        <v>51</v>
      </c>
    </row>
    <row r="20" spans="1:33" x14ac:dyDescent="0.25">
      <c r="B20" s="3" t="s">
        <v>3</v>
      </c>
      <c r="C20" s="3" t="s">
        <v>0</v>
      </c>
      <c r="D20" s="3" t="s">
        <v>1</v>
      </c>
      <c r="E20" s="3" t="s">
        <v>4</v>
      </c>
      <c r="M20" t="s">
        <v>52</v>
      </c>
      <c r="N20" s="9">
        <f>SQRT(P9/N9+P10/N10)</f>
        <v>1.6370595829971583E-2</v>
      </c>
      <c r="O20" s="9">
        <f>(ABS(O9-O10-Q7))/N20</f>
        <v>16.513856274658014</v>
      </c>
      <c r="P20" s="9">
        <f>(P9/N9+P10/N10)^2/((P9/N9)^2/(N9-1)+(P10/N10)^2/(N10-1))</f>
        <v>15.401855456958671</v>
      </c>
      <c r="Q20" s="9">
        <f>TDIST(O20,ROUND(P20,0),1)</f>
        <v>2.4797868965654422E-11</v>
      </c>
      <c r="R20" s="9">
        <f>TINV(R18*2,ROUND(P20,0))</f>
        <v>2.5922240889122929</v>
      </c>
      <c r="S20" s="9"/>
      <c r="T20" s="9"/>
      <c r="U20" s="32" t="str">
        <f>IF(Q20&lt;R18,"yes","no")</f>
        <v>yes</v>
      </c>
      <c r="V20" s="9">
        <f>SQRT(O20^2/(O20^2+P20))</f>
        <v>0.97290370759567624</v>
      </c>
      <c r="W20" s="9"/>
      <c r="X20" s="9" t="s">
        <v>52</v>
      </c>
      <c r="Y20" s="9">
        <f>SQRT(AA9/Y9+AA10/Y10)</f>
        <v>2.5737688044161742E-2</v>
      </c>
      <c r="Z20" s="9">
        <f>(ABS(Z9-Z10-AB7))/Y20</f>
        <v>11.659943950096711</v>
      </c>
      <c r="AA20" s="9">
        <f>(AA9/Y9+AA10/Y10)^2/((AA9/Y9)^2/(Y9-1)+(AA10/Y10)^2/(Y10-1))</f>
        <v>19.831969087354739</v>
      </c>
      <c r="AB20" s="9">
        <f>TDIST(Z20,ROUND(AA20,0),1)</f>
        <v>1.127810117096702E-10</v>
      </c>
      <c r="AC20" s="9">
        <f>TINV(AC18*2,ROUND(AA20,0))</f>
        <v>2.5184470475015406</v>
      </c>
      <c r="AF20" s="20" t="str">
        <f>IF(AB20&lt;AC18,"yes","no")</f>
        <v>yes</v>
      </c>
      <c r="AG20">
        <f>SQRT(Z20^2/(Z20^2+AA20))</f>
        <v>0.93418283757675447</v>
      </c>
    </row>
    <row r="21" spans="1:33" x14ac:dyDescent="0.25">
      <c r="B21">
        <v>0.628</v>
      </c>
      <c r="C21">
        <v>0.63800000000000001</v>
      </c>
      <c r="D21">
        <v>1.0269999999999999</v>
      </c>
      <c r="E21">
        <v>0.92200000000000004</v>
      </c>
      <c r="M21" t="s">
        <v>53</v>
      </c>
      <c r="N21" s="9">
        <f>N20</f>
        <v>1.6370595829971583E-2</v>
      </c>
      <c r="O21" s="9">
        <f t="shared" ref="O21:P21" si="4">O20</f>
        <v>16.513856274658014</v>
      </c>
      <c r="P21" s="9">
        <f t="shared" si="4"/>
        <v>15.401855456958671</v>
      </c>
      <c r="Q21" s="39">
        <f>TDIST(O21,ROUND(P21,0),2)</f>
        <v>4.9595737931308845E-11</v>
      </c>
      <c r="R21" s="9">
        <f>TINV(R18,ROUND(P21,0))</f>
        <v>2.9366655319039192</v>
      </c>
      <c r="S21" s="9">
        <f>(O9-O10)-R21*N21</f>
        <v>0.22226670215605895</v>
      </c>
      <c r="T21" s="9">
        <f>(O9-O10)+R21*N21</f>
        <v>0.31841663117727415</v>
      </c>
      <c r="U21" s="40" t="str">
        <f>IF(Q21&lt;R18,"yes","no")</f>
        <v>yes</v>
      </c>
      <c r="V21" s="9">
        <f>V20</f>
        <v>0.97290370759567624</v>
      </c>
      <c r="W21" s="9"/>
      <c r="X21" s="9" t="s">
        <v>53</v>
      </c>
      <c r="Y21" s="9">
        <f>Y20</f>
        <v>2.5737688044161742E-2</v>
      </c>
      <c r="Z21" s="9">
        <f t="shared" ref="Z21:AA21" si="5">Z20</f>
        <v>11.659943950096711</v>
      </c>
      <c r="AA21" s="9">
        <f t="shared" si="5"/>
        <v>19.831969087354739</v>
      </c>
      <c r="AB21" s="39">
        <f>TDIST(Z21,ROUND(AA21,0),2)</f>
        <v>2.2556202341934041E-10</v>
      </c>
      <c r="AC21" s="9">
        <f>TINV(AC18,ROUND(AA21,0))</f>
        <v>2.8361456328595525</v>
      </c>
      <c r="AD21">
        <f>(Z9-Z10)-AC21*Y21</f>
        <v>-0.37309583154635095</v>
      </c>
      <c r="AE21">
        <f>(Z9-Z10)+AC21*Y21</f>
        <v>-0.22710416845364931</v>
      </c>
      <c r="AF21" s="37" t="str">
        <f>IF(AB21&lt;AC18,"yes","no")</f>
        <v>yes</v>
      </c>
      <c r="AG21">
        <f>AG20</f>
        <v>0.93418283757675447</v>
      </c>
    </row>
    <row r="22" spans="1:33" x14ac:dyDescent="0.25">
      <c r="B22">
        <v>0.56100000000000005</v>
      </c>
      <c r="C22">
        <v>0.65500000000000003</v>
      </c>
      <c r="D22">
        <v>0.90100000000000002</v>
      </c>
      <c r="E22">
        <v>0.95099999999999996</v>
      </c>
      <c r="M22" s="19"/>
      <c r="N22" s="38"/>
      <c r="O22" s="38"/>
      <c r="P22" s="38"/>
      <c r="Q22" s="38"/>
      <c r="R22" s="38"/>
      <c r="S22" s="19"/>
      <c r="T22" s="19"/>
      <c r="U22" s="19"/>
      <c r="V22" s="19"/>
      <c r="W22" s="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x14ac:dyDescent="0.25">
      <c r="B23">
        <v>0.76700000000000002</v>
      </c>
      <c r="C23">
        <v>0.71699999999999997</v>
      </c>
      <c r="D23">
        <v>1.05</v>
      </c>
      <c r="E23">
        <v>0.98099999999999998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33" x14ac:dyDescent="0.25">
      <c r="B24">
        <v>0.72099999999999997</v>
      </c>
      <c r="C24">
        <v>0.79</v>
      </c>
      <c r="D24">
        <v>1.026</v>
      </c>
      <c r="E24">
        <v>0.995</v>
      </c>
      <c r="M24" t="s">
        <v>31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 t="s">
        <v>31</v>
      </c>
      <c r="Y24" s="9"/>
      <c r="Z24" s="9"/>
      <c r="AA24" s="9"/>
      <c r="AB24" s="9"/>
      <c r="AC24" s="9"/>
    </row>
    <row r="25" spans="1:33" x14ac:dyDescent="0.25">
      <c r="B25">
        <v>0.71399999999999997</v>
      </c>
      <c r="C25">
        <v>0.70899999999999996</v>
      </c>
      <c r="D25">
        <v>1.0369999999999999</v>
      </c>
      <c r="E25">
        <v>0.98699999999999999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33" ht="15.75" thickBot="1" x14ac:dyDescent="0.3">
      <c r="B26">
        <v>0.68799999999999994</v>
      </c>
      <c r="C26">
        <v>0.64300000000000002</v>
      </c>
      <c r="D26">
        <v>1.0269999999999999</v>
      </c>
      <c r="E26">
        <v>0.97299999999999998</v>
      </c>
      <c r="M26" t="s">
        <v>32</v>
      </c>
      <c r="N26" s="9"/>
      <c r="O26" s="9"/>
      <c r="P26" s="9" t="s">
        <v>33</v>
      </c>
      <c r="Q26" s="9">
        <v>0</v>
      </c>
      <c r="R26" s="9"/>
      <c r="S26" s="9"/>
      <c r="T26" s="9"/>
      <c r="U26" s="9"/>
      <c r="V26" s="9"/>
      <c r="W26" s="9"/>
      <c r="X26" s="9" t="s">
        <v>32</v>
      </c>
      <c r="Y26" s="9"/>
      <c r="Z26" s="9"/>
      <c r="AA26" s="9" t="s">
        <v>33</v>
      </c>
      <c r="AB26" s="9">
        <v>0</v>
      </c>
      <c r="AC26" s="9"/>
    </row>
    <row r="27" spans="1:33" ht="15.75" thickTop="1" x14ac:dyDescent="0.25">
      <c r="B27">
        <v>0.60499999999999998</v>
      </c>
      <c r="C27">
        <v>0.59099999999999997</v>
      </c>
      <c r="D27">
        <v>1.0309999999999999</v>
      </c>
      <c r="E27">
        <v>0.94899999999999995</v>
      </c>
      <c r="M27" s="18" t="s">
        <v>34</v>
      </c>
      <c r="N27" s="18" t="s">
        <v>35</v>
      </c>
      <c r="O27" s="18" t="s">
        <v>36</v>
      </c>
      <c r="P27" s="18" t="s">
        <v>37</v>
      </c>
      <c r="Q27" s="18" t="s">
        <v>38</v>
      </c>
      <c r="R27" s="9"/>
      <c r="S27" s="9"/>
      <c r="T27" s="9"/>
      <c r="U27" s="9"/>
      <c r="V27" s="9"/>
      <c r="W27" s="9"/>
      <c r="X27" s="18" t="s">
        <v>34</v>
      </c>
      <c r="Y27" s="18" t="s">
        <v>35</v>
      </c>
      <c r="Z27" s="18" t="s">
        <v>36</v>
      </c>
      <c r="AA27" s="18" t="s">
        <v>37</v>
      </c>
      <c r="AB27" s="18" t="s">
        <v>38</v>
      </c>
      <c r="AC27" s="9"/>
    </row>
    <row r="28" spans="1:33" x14ac:dyDescent="0.25">
      <c r="B28">
        <v>0.90400000000000003</v>
      </c>
      <c r="C28">
        <v>0.58099999999999996</v>
      </c>
      <c r="D28">
        <v>0.97</v>
      </c>
      <c r="E28">
        <v>0.94699999999999995</v>
      </c>
      <c r="M28" s="12" t="str">
        <f>B3</f>
        <v>24h</v>
      </c>
      <c r="N28" s="33">
        <f>COUNT(B4:B15)</f>
        <v>12</v>
      </c>
      <c r="O28" s="41">
        <f>AVERAGE(B4:B15)</f>
        <v>0.72868333333333324</v>
      </c>
      <c r="P28" s="33">
        <f>VAR(B4:B15)</f>
        <v>2.6604360606060622E-3</v>
      </c>
      <c r="Q28" s="33"/>
      <c r="R28" s="33"/>
      <c r="S28" s="33"/>
      <c r="T28" s="33"/>
      <c r="U28" s="33"/>
      <c r="V28" s="33"/>
      <c r="W28" s="33"/>
      <c r="X28" s="39" t="str">
        <f>C3</f>
        <v>gal</v>
      </c>
      <c r="Y28" s="9">
        <f>COUNT(C4:C15)</f>
        <v>12</v>
      </c>
      <c r="Z28" s="42">
        <f>AVERAGE(C4:C15)</f>
        <v>0.4583416666666667</v>
      </c>
      <c r="AA28" s="9">
        <f>VAR(C4:C15)</f>
        <v>5.5552083333333343E-4</v>
      </c>
      <c r="AB28" s="9"/>
      <c r="AC28" s="9"/>
    </row>
    <row r="29" spans="1:33" x14ac:dyDescent="0.25">
      <c r="B29">
        <v>0.81899999999999995</v>
      </c>
      <c r="C29">
        <v>0.626</v>
      </c>
      <c r="D29">
        <v>0.998</v>
      </c>
      <c r="E29">
        <v>0.96899999999999997</v>
      </c>
      <c r="M29" s="12" t="str">
        <f>E3</f>
        <v>48h</v>
      </c>
      <c r="N29" s="9">
        <f>COUNT(E4:E15)</f>
        <v>12</v>
      </c>
      <c r="O29" s="42">
        <f>AVERAGE(E4:E15)</f>
        <v>0.99917499999999981</v>
      </c>
      <c r="P29" s="9">
        <f>VAR(E4:E15)</f>
        <v>4.7090002272727246E-3</v>
      </c>
      <c r="Q29" s="9"/>
      <c r="R29" s="9"/>
      <c r="S29" s="9"/>
      <c r="T29" s="9"/>
      <c r="U29" s="9"/>
      <c r="V29" s="32"/>
      <c r="W29" s="9"/>
      <c r="X29" s="39" t="str">
        <f>E3</f>
        <v>48h</v>
      </c>
      <c r="Y29" s="9">
        <f>COUNT(E4:E15)</f>
        <v>12</v>
      </c>
      <c r="Z29" s="42">
        <f>AVERAGE(E4:E15)</f>
        <v>0.99917499999999981</v>
      </c>
      <c r="AA29" s="9">
        <f>VAR(E4:E15)</f>
        <v>4.7090002272727246E-3</v>
      </c>
      <c r="AB29" s="9"/>
      <c r="AC29" s="9"/>
    </row>
    <row r="30" spans="1:33" x14ac:dyDescent="0.25">
      <c r="B30">
        <v>0.84299999999999997</v>
      </c>
      <c r="C30">
        <v>0.72799999999999998</v>
      </c>
      <c r="D30">
        <v>1.0369999999999999</v>
      </c>
      <c r="E30">
        <v>1.038</v>
      </c>
      <c r="M30" s="19" t="s">
        <v>39</v>
      </c>
      <c r="N30" s="19"/>
      <c r="O30" s="19"/>
      <c r="P30" s="19">
        <f>((N28-1)*P28+(N29-1)*P29)/(N28+N29-2)</f>
        <v>3.684718143939393E-3</v>
      </c>
      <c r="Q30" s="19">
        <f>ABS(O28-O29-Q26)/SQRT(P30)</f>
        <v>4.4560674237538915</v>
      </c>
      <c r="R30" s="9"/>
      <c r="S30" s="9"/>
      <c r="T30" s="9"/>
      <c r="U30" s="9"/>
      <c r="V30" s="32"/>
      <c r="W30" s="9"/>
      <c r="X30" s="19" t="s">
        <v>39</v>
      </c>
      <c r="Y30" s="19"/>
      <c r="Z30" s="19"/>
      <c r="AA30" s="19">
        <f>((Y28-1)*AA28+(Y29-1)*AA29)/(Y28+Y29-2)</f>
        <v>2.6322605303030289E-3</v>
      </c>
      <c r="AB30" s="19">
        <f>ABS(Z28-Z29-AB26)/SQRT(AA30)</f>
        <v>10.541417516461415</v>
      </c>
      <c r="AC30" s="9"/>
    </row>
    <row r="31" spans="1:33" x14ac:dyDescent="0.25">
      <c r="B31">
        <v>0.85</v>
      </c>
      <c r="C31">
        <v>0.64400000000000002</v>
      </c>
      <c r="D31">
        <v>1.0609999999999999</v>
      </c>
      <c r="E31">
        <v>1.103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33" ht="15.75" thickBot="1" x14ac:dyDescent="0.3">
      <c r="B32">
        <v>0.77800000000000002</v>
      </c>
      <c r="C32">
        <v>0.59299999999999997</v>
      </c>
      <c r="D32">
        <v>1.1539999999999999</v>
      </c>
      <c r="E32">
        <v>1.0469999999999999</v>
      </c>
      <c r="M32" t="s">
        <v>40</v>
      </c>
      <c r="N32" s="9"/>
      <c r="O32" s="9"/>
      <c r="P32" s="9"/>
      <c r="Q32" s="9" t="s">
        <v>41</v>
      </c>
      <c r="R32" s="9">
        <v>1.0206218313011495E-2</v>
      </c>
      <c r="S32" s="9"/>
      <c r="T32" s="9"/>
      <c r="U32" s="9"/>
      <c r="V32" s="9"/>
      <c r="W32" s="9"/>
      <c r="X32" s="9" t="s">
        <v>40</v>
      </c>
      <c r="Y32" s="9"/>
      <c r="Z32" s="9"/>
      <c r="AA32" s="9"/>
      <c r="AB32" s="9" t="s">
        <v>41</v>
      </c>
      <c r="AC32" s="9">
        <v>1.0206E-2</v>
      </c>
    </row>
    <row r="33" spans="1:33" ht="15.75" thickTop="1" x14ac:dyDescent="0.25">
      <c r="A33" s="12" t="s">
        <v>23</v>
      </c>
      <c r="B33" s="4">
        <f>AVERAGE(B21:B32)</f>
        <v>0.73983333333333334</v>
      </c>
      <c r="C33" s="4">
        <f t="shared" ref="C33" si="6">AVERAGE(C21:C32)</f>
        <v>0.6595833333333333</v>
      </c>
      <c r="D33" s="4">
        <f t="shared" ref="D33" si="7">AVERAGE(D21:D32)</f>
        <v>1.0265833333333332</v>
      </c>
      <c r="E33" s="4">
        <f t="shared" ref="E33" si="8">AVERAGE(E21:E32)</f>
        <v>0.98850000000000005</v>
      </c>
      <c r="M33" s="18" t="s">
        <v>42</v>
      </c>
      <c r="N33" s="18" t="s">
        <v>43</v>
      </c>
      <c r="O33" s="18" t="s">
        <v>44</v>
      </c>
      <c r="P33" s="18" t="s">
        <v>45</v>
      </c>
      <c r="Q33" s="18" t="s">
        <v>46</v>
      </c>
      <c r="R33" s="18" t="s">
        <v>47</v>
      </c>
      <c r="S33" s="18" t="s">
        <v>48</v>
      </c>
      <c r="T33" s="18" t="s">
        <v>49</v>
      </c>
      <c r="U33" s="18" t="s">
        <v>50</v>
      </c>
      <c r="V33" s="18" t="s">
        <v>51</v>
      </c>
      <c r="W33" s="33"/>
      <c r="X33" s="18" t="s">
        <v>42</v>
      </c>
      <c r="Y33" s="18" t="s">
        <v>43</v>
      </c>
      <c r="Z33" s="18" t="s">
        <v>44</v>
      </c>
      <c r="AA33" s="18" t="s">
        <v>45</v>
      </c>
      <c r="AB33" s="18" t="s">
        <v>46</v>
      </c>
      <c r="AC33" s="18" t="s">
        <v>47</v>
      </c>
      <c r="AD33" s="18" t="s">
        <v>48</v>
      </c>
      <c r="AE33" s="18" t="s">
        <v>49</v>
      </c>
      <c r="AF33" s="18" t="s">
        <v>50</v>
      </c>
      <c r="AG33" s="18" t="s">
        <v>51</v>
      </c>
    </row>
    <row r="34" spans="1:33" x14ac:dyDescent="0.25">
      <c r="A34" s="16" t="s">
        <v>24</v>
      </c>
      <c r="B34" s="17">
        <f>_xlfn.STDEV.S(B21:B32)</f>
        <v>0.1064167052276815</v>
      </c>
      <c r="C34" s="17">
        <f t="shared" ref="C34:E34" si="9">_xlfn.STDEV.S(C21:C32)</f>
        <v>6.3869836860650134E-2</v>
      </c>
      <c r="D34" s="17">
        <f t="shared" si="9"/>
        <v>5.8771449984948737E-2</v>
      </c>
      <c r="E34" s="17">
        <f t="shared" si="9"/>
        <v>5.1181495235538547E-2</v>
      </c>
      <c r="M34" t="s">
        <v>52</v>
      </c>
      <c r="N34" s="9">
        <f>SQRT(P30*(1/N28+1/N29))</f>
        <v>2.4781438429933106E-2</v>
      </c>
      <c r="O34" s="9">
        <f>(ABS(O28-O29-Q26))/N34</f>
        <v>10.915091447635421</v>
      </c>
      <c r="P34" s="9">
        <f>N28+N29-2</f>
        <v>22</v>
      </c>
      <c r="Q34" s="9">
        <f>TDIST(O34,P34,1)</f>
        <v>1.1989508886942101E-10</v>
      </c>
      <c r="R34" s="9">
        <f>TINV(R32*2,P34)</f>
        <v>2.498982825207873</v>
      </c>
      <c r="S34" s="9"/>
      <c r="T34" s="9"/>
      <c r="U34" s="32" t="str">
        <f>IF(Q34&lt;R32,"yes","no")</f>
        <v>yes</v>
      </c>
      <c r="V34" s="32">
        <f>SQRT(O34^2/(O34^2+P34))</f>
        <v>0.91876304852661639</v>
      </c>
      <c r="W34" s="9"/>
      <c r="X34" s="9" t="s">
        <v>52</v>
      </c>
      <c r="Y34" s="9">
        <f>SQRT(AA30*(1/Y28+1/Y29))</f>
        <v>2.09454073339202E-2</v>
      </c>
      <c r="Z34" s="9">
        <f>(ABS(Z28-Z29-AB26))/Y34</f>
        <v>25.821094080967161</v>
      </c>
      <c r="AA34" s="9">
        <f>Y28+Y29-2</f>
        <v>22</v>
      </c>
      <c r="AB34" s="9">
        <f>TDIST(Z34,AA34,1)</f>
        <v>3.0153493688596365E-18</v>
      </c>
      <c r="AC34" s="9">
        <f>TINV(AC32*2,AA34)</f>
        <v>2.4989926214538407</v>
      </c>
      <c r="AF34" s="20" t="str">
        <f>IF(AB34&lt;AC32,"yes","no")</f>
        <v>yes</v>
      </c>
      <c r="AG34">
        <f>SQRT(Z34^2/(Z34^2+AA34))</f>
        <v>0.98389892652962319</v>
      </c>
    </row>
    <row r="35" spans="1:33" x14ac:dyDescent="0.25">
      <c r="M35" t="s">
        <v>53</v>
      </c>
      <c r="N35" s="9">
        <f>N34</f>
        <v>2.4781438429933106E-2</v>
      </c>
      <c r="O35" s="9">
        <f t="shared" ref="O35:P35" si="10">O34</f>
        <v>10.915091447635421</v>
      </c>
      <c r="P35" s="9">
        <f t="shared" si="10"/>
        <v>22</v>
      </c>
      <c r="Q35" s="9">
        <f>TDIST(O35,P35,2)</f>
        <v>2.3979017773884201E-10</v>
      </c>
      <c r="R35" s="9">
        <f>TINV(R32,P35)</f>
        <v>2.8097811571678966</v>
      </c>
      <c r="S35" s="9">
        <f>(O28-O29)-R35*N35</f>
        <v>-0.34012208541460898</v>
      </c>
      <c r="T35" s="9">
        <f>(O28-O29)+R35*N35</f>
        <v>-0.20086124791872415</v>
      </c>
      <c r="U35" s="32" t="str">
        <f>IF(Q35&lt;R32,"yes","no")</f>
        <v>yes</v>
      </c>
      <c r="V35" s="32">
        <f>V34</f>
        <v>0.91876304852661639</v>
      </c>
      <c r="W35" s="9"/>
      <c r="X35" s="9" t="s">
        <v>53</v>
      </c>
      <c r="Y35" s="9">
        <f>Y34</f>
        <v>2.09454073339202E-2</v>
      </c>
      <c r="Z35" s="9">
        <f t="shared" ref="Z35:AA35" si="11">Z34</f>
        <v>25.821094080967161</v>
      </c>
      <c r="AA35" s="9">
        <f t="shared" si="11"/>
        <v>22</v>
      </c>
      <c r="AB35" s="9">
        <f>TDIST(Z35,AA35,2)</f>
        <v>6.0306987377192731E-18</v>
      </c>
      <c r="AC35" s="9">
        <f>TINV(AC32,AA35)</f>
        <v>2.8097905669233527</v>
      </c>
      <c r="AD35">
        <f>(Z28-Z29)-AC35*Y35</f>
        <v>-0.59968554128054929</v>
      </c>
      <c r="AE35">
        <f>(Z28-Z29)+AC35*Y35</f>
        <v>-0.48198112538611687</v>
      </c>
      <c r="AF35" s="20" t="str">
        <f>IF(AB35&lt;AC32,"yes","no")</f>
        <v>yes</v>
      </c>
      <c r="AG35">
        <f>AG34</f>
        <v>0.98389892652962319</v>
      </c>
    </row>
    <row r="36" spans="1:33" x14ac:dyDescent="0.25">
      <c r="B36" t="s">
        <v>29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9"/>
      <c r="X36" s="19"/>
      <c r="Y36" s="19"/>
      <c r="Z36" s="43"/>
      <c r="AA36" s="43"/>
      <c r="AB36" s="19"/>
      <c r="AC36" s="19"/>
      <c r="AD36" s="19"/>
      <c r="AE36" s="19"/>
      <c r="AF36" s="19"/>
      <c r="AG36" s="19"/>
    </row>
    <row r="37" spans="1:33" ht="15.75" thickBot="1" x14ac:dyDescent="0.3">
      <c r="B37" s="3" t="s">
        <v>3</v>
      </c>
      <c r="C37" s="3" t="s">
        <v>0</v>
      </c>
      <c r="D37" s="3" t="s">
        <v>1</v>
      </c>
      <c r="E37" s="3" t="s">
        <v>4</v>
      </c>
      <c r="M37" t="s">
        <v>54</v>
      </c>
      <c r="N37" s="9"/>
      <c r="O37" s="9"/>
      <c r="P37" s="9"/>
      <c r="Q37" s="9" t="s">
        <v>41</v>
      </c>
      <c r="R37" s="9">
        <f>R32</f>
        <v>1.0206218313011495E-2</v>
      </c>
      <c r="S37" s="9"/>
      <c r="T37" s="9"/>
      <c r="U37" s="9"/>
      <c r="V37" s="9"/>
      <c r="W37" s="9"/>
      <c r="X37" s="9" t="s">
        <v>54</v>
      </c>
      <c r="Y37" s="9"/>
      <c r="Z37" s="9"/>
      <c r="AA37" s="9"/>
      <c r="AB37" s="9" t="s">
        <v>41</v>
      </c>
      <c r="AC37" s="9">
        <f>AC32</f>
        <v>1.0206E-2</v>
      </c>
    </row>
    <row r="38" spans="1:33" ht="15.75" thickTop="1" x14ac:dyDescent="0.25">
      <c r="B38">
        <v>0.68500000000000005</v>
      </c>
      <c r="C38">
        <v>0.61299999999999999</v>
      </c>
      <c r="D38">
        <v>0.92100000000000004</v>
      </c>
      <c r="E38">
        <v>0.98299999999999998</v>
      </c>
      <c r="M38" s="18" t="s">
        <v>42</v>
      </c>
      <c r="N38" s="18" t="s">
        <v>43</v>
      </c>
      <c r="O38" s="18" t="s">
        <v>44</v>
      </c>
      <c r="P38" s="18" t="s">
        <v>45</v>
      </c>
      <c r="Q38" s="18" t="s">
        <v>46</v>
      </c>
      <c r="R38" s="18" t="s">
        <v>47</v>
      </c>
      <c r="S38" s="18" t="s">
        <v>48</v>
      </c>
      <c r="T38" s="18" t="s">
        <v>49</v>
      </c>
      <c r="U38" s="18" t="s">
        <v>50</v>
      </c>
      <c r="V38" s="18" t="s">
        <v>51</v>
      </c>
      <c r="W38" s="9"/>
      <c r="X38" s="18" t="s">
        <v>42</v>
      </c>
      <c r="Y38" s="18" t="s">
        <v>43</v>
      </c>
      <c r="Z38" s="18" t="s">
        <v>44</v>
      </c>
      <c r="AA38" s="18" t="s">
        <v>45</v>
      </c>
      <c r="AB38" s="18" t="s">
        <v>46</v>
      </c>
      <c r="AC38" s="18" t="s">
        <v>47</v>
      </c>
      <c r="AD38" s="18" t="s">
        <v>48</v>
      </c>
      <c r="AE38" s="18" t="s">
        <v>49</v>
      </c>
      <c r="AF38" s="18" t="s">
        <v>50</v>
      </c>
      <c r="AG38" s="18" t="s">
        <v>51</v>
      </c>
    </row>
    <row r="39" spans="1:33" x14ac:dyDescent="0.25">
      <c r="B39">
        <v>0.69799999999999995</v>
      </c>
      <c r="C39">
        <v>0.63100000000000001</v>
      </c>
      <c r="D39">
        <v>0.96199999999999997</v>
      </c>
      <c r="E39">
        <v>0.99199999999999999</v>
      </c>
      <c r="M39" t="s">
        <v>52</v>
      </c>
      <c r="N39" s="9">
        <f>SQRT(P28/N28+P29/N29)</f>
        <v>2.4781438429933109E-2</v>
      </c>
      <c r="O39" s="9">
        <f>(ABS(O28-O29-Q26))/N39</f>
        <v>10.915091447635419</v>
      </c>
      <c r="P39" s="9">
        <f>(P28/N28+P29/N29)^2/((P28/N28)^2/(N28-1)+(P29/N29)^2/(N29-1))</f>
        <v>20.421926201869727</v>
      </c>
      <c r="Q39" s="9">
        <f>TDIST(O39,ROUND(P39,0),1)</f>
        <v>3.5580465556528376E-10</v>
      </c>
      <c r="R39" s="9">
        <f>TINV(R37*2,ROUND(P39,0))</f>
        <v>2.5184470475015406</v>
      </c>
      <c r="S39" s="9"/>
      <c r="T39" s="9"/>
      <c r="U39" s="32" t="str">
        <f>IF(Q39&lt;R37,"yes","no")</f>
        <v>yes</v>
      </c>
      <c r="V39" s="9">
        <f>SQRT(O39^2/(O39^2+P39))</f>
        <v>0.92394285804791831</v>
      </c>
      <c r="W39" s="9"/>
      <c r="X39" s="9" t="s">
        <v>52</v>
      </c>
      <c r="Y39" s="9">
        <f>SQRT(AA28/Y28+AA29/Y29)</f>
        <v>2.0945407333920203E-2</v>
      </c>
      <c r="Z39" s="31">
        <f>(ABS(Z28-Z29-AB26))/Y39</f>
        <v>25.821094080967157</v>
      </c>
      <c r="AA39" s="31">
        <f>(AA28/Y28+AA29/Y29)^2/((AA28/Y28)^2/(Y28-1)+(AA29/Y29)^2/(Y29-1))</f>
        <v>13.559716969103832</v>
      </c>
      <c r="AB39" s="9">
        <f>TDIST(Z39,ROUND(AA39,0),1)</f>
        <v>1.6448200192635738E-13</v>
      </c>
      <c r="AC39" s="9">
        <f>TINV(AC37*2,ROUND(AA39,0))</f>
        <v>2.6140304983197438</v>
      </c>
      <c r="AF39" s="20" t="str">
        <f>IF(AB39&lt;AC37,"yes","no")</f>
        <v>yes</v>
      </c>
      <c r="AG39">
        <f>SQRT(Z39^2/(Z39^2+AA39))</f>
        <v>0.98998368660191116</v>
      </c>
    </row>
    <row r="40" spans="1:33" x14ac:dyDescent="0.25">
      <c r="B40">
        <v>0.59399999999999997</v>
      </c>
      <c r="C40">
        <v>0.61399999999999999</v>
      </c>
      <c r="D40">
        <v>0.94899999999999995</v>
      </c>
      <c r="E40">
        <v>0.97699999999999998</v>
      </c>
      <c r="M40" t="s">
        <v>53</v>
      </c>
      <c r="N40" s="9">
        <f>N39</f>
        <v>2.4781438429933109E-2</v>
      </c>
      <c r="O40" s="9">
        <f t="shared" ref="O40:P40" si="12">O39</f>
        <v>10.915091447635419</v>
      </c>
      <c r="P40" s="9">
        <f t="shared" si="12"/>
        <v>20.421926201869727</v>
      </c>
      <c r="Q40" s="39">
        <f>TDIST(O40,ROUND(P40,0),2)</f>
        <v>7.1160931113056752E-10</v>
      </c>
      <c r="R40" s="9">
        <f>TINV(R37,ROUND(P40,0))</f>
        <v>2.8361456328595525</v>
      </c>
      <c r="S40" s="9">
        <f>(O28-O29)-R40*N40</f>
        <v>-0.34077543504569924</v>
      </c>
      <c r="T40" s="9">
        <f>(O28-O29)+R40*N40</f>
        <v>-0.20020789828763391</v>
      </c>
      <c r="U40" s="40" t="str">
        <f>IF(Q40&lt;R37,"yes","no")</f>
        <v>yes</v>
      </c>
      <c r="V40" s="9">
        <f>V39</f>
        <v>0.92394285804791831</v>
      </c>
      <c r="W40" s="9"/>
      <c r="X40" s="9" t="s">
        <v>53</v>
      </c>
      <c r="Y40" s="9">
        <f>Y39</f>
        <v>2.0945407333920203E-2</v>
      </c>
      <c r="Z40" s="9">
        <f t="shared" ref="Z40:AA40" si="13">Z39</f>
        <v>25.821094080967157</v>
      </c>
      <c r="AA40" s="9">
        <f t="shared" si="13"/>
        <v>13.559716969103832</v>
      </c>
      <c r="AB40" s="39">
        <f>TDIST(Z40,ROUND(AA40,0),2)</f>
        <v>3.2896400385271475E-13</v>
      </c>
      <c r="AC40" s="9">
        <f>TINV(AC37,ROUND(AA40,0))</f>
        <v>2.9665473750614759</v>
      </c>
      <c r="AD40">
        <f>(Z28-Z29)-AC40*Y40</f>
        <v>-0.60296887647936748</v>
      </c>
      <c r="AE40">
        <f>(Z28-Z29)+AC40*Y40</f>
        <v>-0.47869779018729869</v>
      </c>
      <c r="AF40" s="37" t="str">
        <f>IF(AB40&lt;AC37,"yes","no")</f>
        <v>yes</v>
      </c>
      <c r="AG40">
        <f>AG39</f>
        <v>0.98998368660191116</v>
      </c>
    </row>
    <row r="41" spans="1:33" x14ac:dyDescent="0.25">
      <c r="B41">
        <v>0.76600000000000001</v>
      </c>
      <c r="C41">
        <v>0.66600000000000004</v>
      </c>
      <c r="D41">
        <v>1.0249999999999999</v>
      </c>
      <c r="E41">
        <v>1.0029999999999999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x14ac:dyDescent="0.25">
      <c r="B42">
        <v>0.79500000000000004</v>
      </c>
      <c r="C42">
        <v>0.63</v>
      </c>
      <c r="D42">
        <v>1.056</v>
      </c>
      <c r="E42">
        <v>1.1100000000000001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31"/>
      <c r="AA42" s="31"/>
      <c r="AB42" s="9"/>
      <c r="AC42" s="9"/>
    </row>
    <row r="43" spans="1:33" x14ac:dyDescent="0.25">
      <c r="B43">
        <v>0.79</v>
      </c>
      <c r="C43">
        <v>0.65500000000000003</v>
      </c>
      <c r="D43">
        <v>1.0029999999999999</v>
      </c>
      <c r="E43">
        <v>1.046</v>
      </c>
      <c r="M43" t="s">
        <v>31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33" x14ac:dyDescent="0.25">
      <c r="B44">
        <v>1.196</v>
      </c>
      <c r="C44">
        <v>0.59699999999999998</v>
      </c>
      <c r="D44">
        <v>0.93600000000000005</v>
      </c>
      <c r="E44">
        <v>0.88800000000000001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33" ht="15.75" thickBot="1" x14ac:dyDescent="0.3">
      <c r="B45">
        <v>0.92100000000000004</v>
      </c>
      <c r="C45">
        <v>0.60899999999999999</v>
      </c>
      <c r="D45">
        <v>0.96699999999999997</v>
      </c>
      <c r="E45">
        <v>0.871</v>
      </c>
      <c r="M45" t="s">
        <v>32</v>
      </c>
      <c r="N45" s="33"/>
      <c r="O45" s="33"/>
      <c r="P45" s="33" t="s">
        <v>33</v>
      </c>
      <c r="Q45" s="33">
        <v>0</v>
      </c>
      <c r="R45" s="33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33" ht="15.75" thickTop="1" x14ac:dyDescent="0.25">
      <c r="B46">
        <v>0.70799999999999996</v>
      </c>
      <c r="C46">
        <v>0.57999999999999996</v>
      </c>
      <c r="D46">
        <v>0.92800000000000005</v>
      </c>
      <c r="E46">
        <v>1.0229999999999999</v>
      </c>
      <c r="M46" s="18" t="s">
        <v>34</v>
      </c>
      <c r="N46" s="18" t="s">
        <v>35</v>
      </c>
      <c r="O46" s="18" t="s">
        <v>36</v>
      </c>
      <c r="P46" s="18" t="s">
        <v>37</v>
      </c>
      <c r="Q46" s="18" t="s">
        <v>38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33" x14ac:dyDescent="0.25">
      <c r="B47">
        <v>0.72199999999999998</v>
      </c>
      <c r="C47">
        <v>0.628</v>
      </c>
      <c r="D47">
        <v>1.0820000000000001</v>
      </c>
      <c r="E47">
        <v>0.91900000000000004</v>
      </c>
      <c r="M47" s="12" t="str">
        <f>D3</f>
        <v>glu</v>
      </c>
      <c r="N47" s="9">
        <f>COUNT(D4:D15)</f>
        <v>12</v>
      </c>
      <c r="O47" s="42">
        <f>AVERAGE(D4:D15)</f>
        <v>1.0287833333333334</v>
      </c>
      <c r="P47" s="9">
        <f>VAR(D4:D15)</f>
        <v>5.2887069696969718E-3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33" x14ac:dyDescent="0.25">
      <c r="B48">
        <v>1.016</v>
      </c>
      <c r="C48">
        <v>0.6</v>
      </c>
      <c r="D48">
        <v>0.95499999999999996</v>
      </c>
      <c r="E48">
        <v>0.97399999999999998</v>
      </c>
      <c r="M48" s="12" t="str">
        <f>E3</f>
        <v>48h</v>
      </c>
      <c r="N48" s="9">
        <f>COUNT(E4:E15)</f>
        <v>12</v>
      </c>
      <c r="O48" s="42">
        <f>AVERAGE(E4:E15)</f>
        <v>0.99917499999999981</v>
      </c>
      <c r="P48" s="9">
        <f>VAR(E4:E15)</f>
        <v>4.7090002272727246E-3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>
        <v>1.105</v>
      </c>
      <c r="C49">
        <v>0.625</v>
      </c>
      <c r="D49">
        <v>0.96399999999999997</v>
      </c>
      <c r="E49">
        <v>0.96</v>
      </c>
      <c r="M49" s="19" t="s">
        <v>39</v>
      </c>
      <c r="N49" s="19"/>
      <c r="O49" s="19"/>
      <c r="P49" s="19">
        <f>((N47-1)*P47+(N48-1)*P48)/(N47+N48-2)</f>
        <v>4.9988535984848486E-3</v>
      </c>
      <c r="Q49" s="19">
        <f>ABS(O47-O48-Q45)/SQRT(P49)</f>
        <v>0.41877307655373353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12" t="s">
        <v>23</v>
      </c>
      <c r="B50" s="4">
        <f>AVERAGE(B38:B49)</f>
        <v>0.83300000000000007</v>
      </c>
      <c r="C50" s="4">
        <f t="shared" ref="C50" si="14">AVERAGE(C38:C49)</f>
        <v>0.6206666666666667</v>
      </c>
      <c r="D50" s="4">
        <f t="shared" ref="D50" si="15">AVERAGE(D38:D49)</f>
        <v>0.97900000000000009</v>
      </c>
      <c r="E50" s="4">
        <f t="shared" ref="E50" si="16">AVERAGE(E38:E49)</f>
        <v>0.97883333333333356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.75" thickBot="1" x14ac:dyDescent="0.3">
      <c r="A51" s="16" t="s">
        <v>24</v>
      </c>
      <c r="B51" s="17">
        <f>_xlfn.STDEV.S(B38:B49)</f>
        <v>0.18585527116060432</v>
      </c>
      <c r="C51" s="17">
        <f t="shared" ref="C51:E51" si="17">_xlfn.STDEV.S(C38:C49)</f>
        <v>2.4084447389562565E-2</v>
      </c>
      <c r="D51" s="17">
        <f t="shared" si="17"/>
        <v>5.1502868410851201E-2</v>
      </c>
      <c r="E51" s="17">
        <f t="shared" si="17"/>
        <v>6.625135790489449E-2</v>
      </c>
      <c r="M51" t="s">
        <v>40</v>
      </c>
      <c r="N51" s="33"/>
      <c r="O51" s="33"/>
      <c r="P51" s="33"/>
      <c r="Q51" s="33" t="s">
        <v>41</v>
      </c>
      <c r="R51" s="33">
        <v>1.0206E-2</v>
      </c>
      <c r="S51" s="33"/>
      <c r="T51" s="33"/>
      <c r="U51" s="33"/>
      <c r="V51" s="33"/>
      <c r="W51" s="33"/>
      <c r="X51" s="9"/>
      <c r="Y51" s="9"/>
      <c r="Z51" s="9"/>
      <c r="AA51" s="9"/>
      <c r="AB51" s="9"/>
      <c r="AC51" s="9"/>
    </row>
    <row r="52" spans="1:29" ht="15.75" thickTop="1" x14ac:dyDescent="0.25">
      <c r="M52" s="18" t="s">
        <v>42</v>
      </c>
      <c r="N52" s="18" t="s">
        <v>43</v>
      </c>
      <c r="O52" s="18" t="s">
        <v>44</v>
      </c>
      <c r="P52" s="18" t="s">
        <v>45</v>
      </c>
      <c r="Q52" s="18" t="s">
        <v>46</v>
      </c>
      <c r="R52" s="18" t="s">
        <v>47</v>
      </c>
      <c r="S52" s="18" t="s">
        <v>48</v>
      </c>
      <c r="T52" s="18" t="s">
        <v>49</v>
      </c>
      <c r="U52" s="18" t="s">
        <v>50</v>
      </c>
      <c r="V52" s="18" t="s">
        <v>51</v>
      </c>
      <c r="W52" s="9"/>
      <c r="X52" s="9"/>
      <c r="Y52" s="9"/>
      <c r="Z52" s="9"/>
      <c r="AA52" s="9"/>
      <c r="AB52" s="9"/>
      <c r="AC52" s="9"/>
    </row>
    <row r="53" spans="1:29" x14ac:dyDescent="0.25">
      <c r="M53" t="s">
        <v>52</v>
      </c>
      <c r="N53" s="9">
        <f>SQRT(P49*(1/N47+1/N48))</f>
        <v>2.886420389364899E-2</v>
      </c>
      <c r="O53" s="9">
        <f>(ABS(O47-O48-Q45))/N53</f>
        <v>1.0257803555721248</v>
      </c>
      <c r="P53" s="9">
        <f>N47+N48-2</f>
        <v>22</v>
      </c>
      <c r="Q53" s="9">
        <f>TDIST(O53,P53,1)</f>
        <v>0.15807121433571159</v>
      </c>
      <c r="R53" s="9">
        <f>TINV(R51*2,P53)</f>
        <v>2.4989926214538407</v>
      </c>
      <c r="S53" s="9"/>
      <c r="T53" s="9"/>
      <c r="U53" s="32" t="str">
        <f>IF(Q53&lt;R51,"yes","no")</f>
        <v>no</v>
      </c>
      <c r="V53" s="32">
        <f>SQRT(O53^2/(O53^2+P53))</f>
        <v>0.21364756610671337</v>
      </c>
      <c r="W53" s="9"/>
      <c r="X53" s="9"/>
      <c r="Y53" s="9"/>
      <c r="Z53" s="9"/>
      <c r="AA53" s="9"/>
      <c r="AB53" s="9"/>
      <c r="AC53" s="9"/>
    </row>
    <row r="54" spans="1:29" x14ac:dyDescent="0.25">
      <c r="M54" t="s">
        <v>53</v>
      </c>
      <c r="N54" s="9">
        <f>N53</f>
        <v>2.886420389364899E-2</v>
      </c>
      <c r="O54" s="9">
        <f t="shared" ref="O54:P54" si="18">O53</f>
        <v>1.0257803555721248</v>
      </c>
      <c r="P54" s="9">
        <f t="shared" si="18"/>
        <v>22</v>
      </c>
      <c r="Q54" s="9">
        <f>TDIST(O54,P54,2)</f>
        <v>0.31614242867142317</v>
      </c>
      <c r="R54" s="9">
        <f>TINV(R51,P54)</f>
        <v>2.8097905669233527</v>
      </c>
      <c r="S54" s="9">
        <f>(O47-O48)-R54*N54</f>
        <v>-5.1494034488793666E-2</v>
      </c>
      <c r="T54" s="9">
        <f>(O47-O48)+R54*N54</f>
        <v>0.11071070115546081</v>
      </c>
      <c r="U54" s="32" t="str">
        <f>IF(Q54&lt;R51,"yes","no")</f>
        <v>no</v>
      </c>
      <c r="V54" s="9">
        <f>V53</f>
        <v>0.21364756610671337</v>
      </c>
      <c r="W54" s="9"/>
      <c r="X54" s="9"/>
      <c r="Y54" s="9"/>
      <c r="Z54" s="9"/>
      <c r="AA54" s="9"/>
      <c r="AB54" s="9"/>
      <c r="AC54" s="9"/>
    </row>
    <row r="55" spans="1:29" x14ac:dyDescent="0.25"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9"/>
      <c r="X55" s="9"/>
      <c r="Y55" s="9"/>
      <c r="Z55" s="9"/>
      <c r="AA55" s="9"/>
      <c r="AB55" s="9"/>
      <c r="AC55" s="9"/>
    </row>
    <row r="56" spans="1:29" ht="15.75" thickBot="1" x14ac:dyDescent="0.3">
      <c r="M56" t="s">
        <v>54</v>
      </c>
      <c r="N56" s="33"/>
      <c r="O56" s="33"/>
      <c r="P56" s="33"/>
      <c r="Q56" s="33" t="s">
        <v>41</v>
      </c>
      <c r="R56" s="33">
        <f>R51</f>
        <v>1.0206E-2</v>
      </c>
      <c r="S56" s="33"/>
      <c r="T56" s="33"/>
      <c r="U56" s="33"/>
      <c r="V56" s="33"/>
      <c r="W56" s="33"/>
      <c r="X56" s="9"/>
      <c r="Y56" s="9"/>
      <c r="Z56" s="9"/>
      <c r="AA56" s="9"/>
      <c r="AB56" s="9"/>
      <c r="AC56" s="9"/>
    </row>
    <row r="57" spans="1:29" ht="15.75" thickTop="1" x14ac:dyDescent="0.25">
      <c r="M57" s="18" t="s">
        <v>42</v>
      </c>
      <c r="N57" s="18" t="s">
        <v>43</v>
      </c>
      <c r="O57" s="18" t="s">
        <v>44</v>
      </c>
      <c r="P57" s="18" t="s">
        <v>45</v>
      </c>
      <c r="Q57" s="18" t="s">
        <v>46</v>
      </c>
      <c r="R57" s="18" t="s">
        <v>47</v>
      </c>
      <c r="S57" s="18" t="s">
        <v>48</v>
      </c>
      <c r="T57" s="18" t="s">
        <v>49</v>
      </c>
      <c r="U57" s="18" t="s">
        <v>50</v>
      </c>
      <c r="V57" s="18" t="s">
        <v>51</v>
      </c>
      <c r="W57" s="9"/>
      <c r="X57" s="9"/>
      <c r="Y57" s="9"/>
      <c r="Z57" s="9"/>
      <c r="AA57" s="9"/>
      <c r="AB57" s="9"/>
      <c r="AC57" s="9"/>
    </row>
    <row r="58" spans="1:29" x14ac:dyDescent="0.25">
      <c r="M58" t="s">
        <v>52</v>
      </c>
      <c r="N58" s="9">
        <f>SQRT(P47/N47+P48/N48)</f>
        <v>2.886420389364899E-2</v>
      </c>
      <c r="O58" s="9">
        <f>(ABS(O47-O48-Q45))/N58</f>
        <v>1.0257803555721248</v>
      </c>
      <c r="P58" s="9">
        <f>(P47/N47+P48/N48)^2/((P47/N47)^2/(N47-1)+(P48/N48)^2/(N48-1))</f>
        <v>21.926280760357844</v>
      </c>
      <c r="Q58" s="9">
        <f>TDIST(O58,ROUND(P58,0),1)</f>
        <v>0.15807121433571159</v>
      </c>
      <c r="R58" s="9">
        <f>TINV(R56*2,ROUND(P58,0))</f>
        <v>2.4989926214538407</v>
      </c>
      <c r="S58" s="9"/>
      <c r="T58" s="9"/>
      <c r="U58" s="32" t="str">
        <f>IF(Q58&lt;R56,"yes","no")</f>
        <v>no</v>
      </c>
      <c r="V58" s="32">
        <f>SQRT(O58^2/(O58^2+P58))</f>
        <v>0.21399000186195805</v>
      </c>
      <c r="W58" s="9"/>
      <c r="X58" s="9"/>
      <c r="Y58" s="9"/>
      <c r="Z58" s="9"/>
      <c r="AA58" s="9"/>
      <c r="AB58" s="9"/>
      <c r="AC58" s="9"/>
    </row>
    <row r="59" spans="1:29" x14ac:dyDescent="0.25">
      <c r="M59" t="s">
        <v>53</v>
      </c>
      <c r="N59" s="9">
        <f>N58</f>
        <v>2.886420389364899E-2</v>
      </c>
      <c r="O59" s="9">
        <f t="shared" ref="O59:P59" si="19">O58</f>
        <v>1.0257803555721248</v>
      </c>
      <c r="P59" s="9">
        <f t="shared" si="19"/>
        <v>21.926280760357844</v>
      </c>
      <c r="Q59" s="39">
        <f>TDIST(O59,ROUND(P59,0),2)</f>
        <v>0.31614242867142317</v>
      </c>
      <c r="R59" s="9">
        <f>TINV(R56,ROUND(P59,0))</f>
        <v>2.8097905669233527</v>
      </c>
      <c r="S59" s="9">
        <f>(O47-O48)-R59*N59</f>
        <v>-5.1494034488793666E-2</v>
      </c>
      <c r="T59" s="9">
        <f>(O47-O48)+R59*N59</f>
        <v>0.11071070115546081</v>
      </c>
      <c r="U59" s="40" t="str">
        <f>IF(Q59&lt;R56,"yes","no")</f>
        <v>no</v>
      </c>
      <c r="V59" s="9">
        <f>V58</f>
        <v>0.21399000186195805</v>
      </c>
      <c r="W59" s="9"/>
      <c r="X59" s="9"/>
      <c r="Y59" s="9"/>
      <c r="Z59" s="9"/>
      <c r="AA59" s="9"/>
      <c r="AB59" s="9"/>
      <c r="AC59" s="9"/>
    </row>
    <row r="60" spans="1:29" x14ac:dyDescent="0.25"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9"/>
      <c r="X60" s="9"/>
      <c r="Y60" s="9"/>
      <c r="Z60" s="9"/>
      <c r="AA60" s="9"/>
      <c r="AB60" s="9"/>
      <c r="AC60" s="9"/>
    </row>
    <row r="61" spans="1:29" x14ac:dyDescent="0.25"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3" spans="1:29" x14ac:dyDescent="0.25"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29" x14ac:dyDescent="0.25"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5:14" x14ac:dyDescent="0.25"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5:14" x14ac:dyDescent="0.25">
      <c r="E66" s="33"/>
      <c r="F66" s="33"/>
      <c r="G66" s="33"/>
      <c r="H66" s="33"/>
      <c r="I66" s="33"/>
      <c r="J66" s="9"/>
      <c r="K66" s="9"/>
      <c r="L66" s="9"/>
      <c r="M66" s="9"/>
      <c r="N66" s="9"/>
    </row>
    <row r="67" spans="5:14" x14ac:dyDescent="0.25"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5:14" x14ac:dyDescent="0.25"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5:14" x14ac:dyDescent="0.25"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5:14" x14ac:dyDescent="0.25"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5:14" x14ac:dyDescent="0.25"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5:14" x14ac:dyDescent="0.25"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5:14" x14ac:dyDescent="0.25">
      <c r="E73" s="9"/>
      <c r="F73" s="9"/>
      <c r="G73" s="9"/>
      <c r="H73" s="9"/>
      <c r="I73" s="9"/>
      <c r="J73" s="9"/>
      <c r="K73" s="9"/>
      <c r="L73" s="9"/>
      <c r="M73" s="32"/>
      <c r="N73" s="9"/>
    </row>
    <row r="74" spans="5:14" x14ac:dyDescent="0.25">
      <c r="E74" s="9"/>
      <c r="F74" s="9"/>
      <c r="G74" s="9"/>
      <c r="H74" s="9"/>
      <c r="I74" s="9"/>
      <c r="J74" s="9"/>
      <c r="K74" s="9"/>
      <c r="L74" s="9"/>
      <c r="M74" s="32"/>
      <c r="N74" s="9"/>
    </row>
    <row r="75" spans="5:14" x14ac:dyDescent="0.25"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5:14" x14ac:dyDescent="0.25"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5:14" x14ac:dyDescent="0.25"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5:14" x14ac:dyDescent="0.25">
      <c r="E78" s="9"/>
      <c r="F78" s="9"/>
      <c r="G78" s="9"/>
      <c r="H78" s="9"/>
      <c r="I78" s="9"/>
      <c r="J78" s="9"/>
      <c r="K78" s="9"/>
      <c r="L78" s="9"/>
      <c r="M78" s="32"/>
      <c r="N78" s="9"/>
    </row>
    <row r="79" spans="5:14" x14ac:dyDescent="0.25">
      <c r="E79" s="9"/>
      <c r="F79" s="9"/>
      <c r="G79" s="9"/>
      <c r="H79" s="9"/>
      <c r="I79" s="9"/>
      <c r="J79" s="9"/>
      <c r="K79" s="9"/>
      <c r="L79" s="9"/>
      <c r="M79" s="32"/>
      <c r="N79" s="9"/>
    </row>
    <row r="80" spans="5:14" x14ac:dyDescent="0.25">
      <c r="E80" s="9"/>
      <c r="F80" s="9"/>
      <c r="G80" s="9"/>
      <c r="H80" s="9"/>
      <c r="I80" s="9"/>
      <c r="J80" s="9"/>
      <c r="K80" s="9"/>
      <c r="L80" s="9"/>
      <c r="M80" s="9"/>
      <c r="N80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workbookViewId="0">
      <selection activeCell="R3" sqref="R3"/>
    </sheetView>
  </sheetViews>
  <sheetFormatPr defaultRowHeight="15" x14ac:dyDescent="0.25"/>
  <cols>
    <col min="2" max="2" width="10.140625" bestFit="1" customWidth="1"/>
  </cols>
  <sheetData>
    <row r="1" spans="1:33" x14ac:dyDescent="0.25">
      <c r="A1" t="s">
        <v>70</v>
      </c>
    </row>
    <row r="2" spans="1:33" x14ac:dyDescent="0.25">
      <c r="B2" s="5">
        <v>42654</v>
      </c>
    </row>
    <row r="3" spans="1:33" x14ac:dyDescent="0.25">
      <c r="B3" s="3" t="s">
        <v>5</v>
      </c>
      <c r="C3" s="3" t="s">
        <v>0</v>
      </c>
      <c r="D3" s="3" t="s">
        <v>1</v>
      </c>
      <c r="E3" s="3" t="s">
        <v>79</v>
      </c>
      <c r="M3" t="s">
        <v>46</v>
      </c>
      <c r="N3">
        <v>0.05</v>
      </c>
      <c r="O3" t="s">
        <v>80</v>
      </c>
      <c r="R3">
        <v>1.0206E-2</v>
      </c>
    </row>
    <row r="4" spans="1:33" x14ac:dyDescent="0.25">
      <c r="B4" s="1">
        <v>1.0322</v>
      </c>
      <c r="C4" s="1">
        <v>0.79249999999999998</v>
      </c>
      <c r="D4" s="1">
        <v>1.6763999999999999</v>
      </c>
      <c r="E4" s="1">
        <v>1.5414000000000001</v>
      </c>
    </row>
    <row r="5" spans="1:33" x14ac:dyDescent="0.25">
      <c r="B5" s="1">
        <v>1.0671999999999999</v>
      </c>
      <c r="C5" s="1">
        <v>0.88500000000000001</v>
      </c>
      <c r="D5" s="1">
        <v>1.5390999999999999</v>
      </c>
      <c r="E5" s="1">
        <v>1.4155</v>
      </c>
      <c r="M5" t="s">
        <v>31</v>
      </c>
      <c r="X5" t="s">
        <v>31</v>
      </c>
    </row>
    <row r="6" spans="1:33" x14ac:dyDescent="0.25">
      <c r="B6" s="1">
        <v>1.0864</v>
      </c>
      <c r="C6" s="1">
        <v>0.81340000000000001</v>
      </c>
      <c r="D6" s="1">
        <v>1.5972</v>
      </c>
      <c r="E6" s="1">
        <v>1.4198999999999999</v>
      </c>
    </row>
    <row r="7" spans="1:33" ht="15.75" thickBot="1" x14ac:dyDescent="0.3">
      <c r="B7" s="1">
        <v>1.0464</v>
      </c>
      <c r="C7" s="1">
        <v>0.87009999999999998</v>
      </c>
      <c r="D7" s="1">
        <v>1.5625</v>
      </c>
      <c r="E7" s="1">
        <v>1.4532</v>
      </c>
      <c r="M7" t="s">
        <v>32</v>
      </c>
      <c r="P7" t="s">
        <v>33</v>
      </c>
      <c r="Q7">
        <v>0</v>
      </c>
      <c r="X7" t="s">
        <v>32</v>
      </c>
      <c r="AA7" t="s">
        <v>33</v>
      </c>
      <c r="AB7">
        <v>0</v>
      </c>
    </row>
    <row r="8" spans="1:33" ht="15.75" thickTop="1" x14ac:dyDescent="0.25">
      <c r="B8" s="1">
        <v>1.0798000000000001</v>
      </c>
      <c r="C8" s="1">
        <v>0.79200000000000004</v>
      </c>
      <c r="D8" s="1">
        <v>1.5487</v>
      </c>
      <c r="E8" s="1">
        <v>1.4961</v>
      </c>
      <c r="M8" s="18" t="s">
        <v>34</v>
      </c>
      <c r="N8" s="18" t="s">
        <v>35</v>
      </c>
      <c r="O8" s="18" t="s">
        <v>36</v>
      </c>
      <c r="P8" s="18" t="s">
        <v>37</v>
      </c>
      <c r="Q8" s="18" t="s">
        <v>38</v>
      </c>
      <c r="X8" s="18" t="s">
        <v>34</v>
      </c>
      <c r="Y8" s="18" t="s">
        <v>35</v>
      </c>
      <c r="Z8" s="18" t="s">
        <v>36</v>
      </c>
      <c r="AA8" s="18" t="s">
        <v>37</v>
      </c>
      <c r="AB8" s="18" t="s">
        <v>38</v>
      </c>
    </row>
    <row r="9" spans="1:33" x14ac:dyDescent="0.25">
      <c r="B9" s="1">
        <v>1.0339</v>
      </c>
      <c r="C9" s="1">
        <v>0.81779999999999997</v>
      </c>
      <c r="D9" s="1">
        <v>1.5731999999999999</v>
      </c>
      <c r="E9" s="1">
        <v>1.5159</v>
      </c>
      <c r="M9" s="12" t="str">
        <f>B3</f>
        <v>48 h</v>
      </c>
      <c r="N9">
        <f>COUNT(B4:B15)</f>
        <v>12</v>
      </c>
      <c r="O9" s="1">
        <f>AVERAGE(B4:B15)</f>
        <v>1.0631416666666669</v>
      </c>
      <c r="P9">
        <f>VAR(B4:B15)</f>
        <v>9.2630810606060673E-4</v>
      </c>
      <c r="X9" s="12" t="str">
        <f>B3</f>
        <v>48 h</v>
      </c>
      <c r="Y9">
        <f>COUNT(B4:B15)</f>
        <v>12</v>
      </c>
      <c r="Z9" s="1">
        <f>AVERAGE(B4:B15)</f>
        <v>1.0631416666666669</v>
      </c>
      <c r="AA9">
        <f>VAR(B4:B15)</f>
        <v>9.2630810606060673E-4</v>
      </c>
    </row>
    <row r="10" spans="1:33" x14ac:dyDescent="0.25">
      <c r="B10" s="1">
        <v>1.0725</v>
      </c>
      <c r="C10" s="1">
        <v>0.92949999999999999</v>
      </c>
      <c r="D10" s="1">
        <v>1.6758999999999999</v>
      </c>
      <c r="E10" s="1">
        <v>1.5394000000000001</v>
      </c>
      <c r="M10" s="12" t="str">
        <f>C3</f>
        <v>gal</v>
      </c>
      <c r="N10">
        <f>COUNT(C4:C15)</f>
        <v>12</v>
      </c>
      <c r="O10" s="1">
        <f>AVERAGE(C4:C15)</f>
        <v>0.8503666666666666</v>
      </c>
      <c r="P10">
        <f>VAR(C4:C15)</f>
        <v>1.7811533333333335E-3</v>
      </c>
      <c r="X10" s="12" t="str">
        <f>D3</f>
        <v>glu</v>
      </c>
      <c r="Y10">
        <f>COUNT(D4:D15)</f>
        <v>12</v>
      </c>
      <c r="Z10" s="1">
        <f>AVERAGE(D4:D15)</f>
        <v>1.5589333333333333</v>
      </c>
      <c r="AA10">
        <f>VAR(D4:D15)</f>
        <v>4.3825624242424177E-3</v>
      </c>
    </row>
    <row r="11" spans="1:33" x14ac:dyDescent="0.25">
      <c r="B11" s="1">
        <v>1.097</v>
      </c>
      <c r="C11" s="1">
        <v>0.87580000000000002</v>
      </c>
      <c r="D11" s="1">
        <v>1.5432999999999999</v>
      </c>
      <c r="E11" s="1">
        <v>1.4332</v>
      </c>
      <c r="M11" s="19" t="s">
        <v>39</v>
      </c>
      <c r="N11" s="19"/>
      <c r="O11" s="19"/>
      <c r="P11" s="19">
        <f>((N9-1)*P9+(N10-1)*P10)/(N9+N10-2)</f>
        <v>1.35373071969697E-3</v>
      </c>
      <c r="Q11" s="19">
        <f>ABS(O9-O10-Q7)/SQRT(P11)</f>
        <v>5.7830168410011149</v>
      </c>
      <c r="X11" s="19" t="s">
        <v>39</v>
      </c>
      <c r="Y11" s="19"/>
      <c r="Z11" s="19"/>
      <c r="AA11" s="19">
        <f>((Y9-1)*AA9+(Y10-1)*AA10)/(Y9+Y10-2)</f>
        <v>2.6544352651515124E-3</v>
      </c>
      <c r="AB11" s="19">
        <f>ABS(Z9-Z10-AB7)/SQRT(AA11)</f>
        <v>9.6230591122142819</v>
      </c>
    </row>
    <row r="12" spans="1:33" x14ac:dyDescent="0.25">
      <c r="B12" s="1">
        <v>1.0206</v>
      </c>
      <c r="C12" s="1">
        <v>0.88070000000000004</v>
      </c>
      <c r="D12" s="1">
        <v>1.5237000000000001</v>
      </c>
      <c r="E12" s="1">
        <v>1.4216</v>
      </c>
    </row>
    <row r="13" spans="1:33" ht="15.75" thickBot="1" x14ac:dyDescent="0.3">
      <c r="B13" s="1">
        <v>1.1082000000000001</v>
      </c>
      <c r="C13" s="1">
        <v>0.87390000000000001</v>
      </c>
      <c r="D13" s="1">
        <v>1.5091000000000001</v>
      </c>
      <c r="E13" s="1">
        <v>1.4234</v>
      </c>
      <c r="M13" t="s">
        <v>40</v>
      </c>
      <c r="Q13" t="s">
        <v>41</v>
      </c>
      <c r="R13">
        <v>1.0206E-2</v>
      </c>
      <c r="X13" t="s">
        <v>40</v>
      </c>
      <c r="AB13" t="s">
        <v>41</v>
      </c>
      <c r="AC13">
        <v>1.0206E-2</v>
      </c>
    </row>
    <row r="14" spans="1:33" ht="15.75" thickTop="1" x14ac:dyDescent="0.25">
      <c r="B14" s="1">
        <v>1.0243</v>
      </c>
      <c r="C14" s="1">
        <v>0.84289999999999998</v>
      </c>
      <c r="D14" s="1">
        <v>1.5092000000000001</v>
      </c>
      <c r="E14" s="1">
        <v>1.4023000000000001</v>
      </c>
      <c r="M14" s="18" t="s">
        <v>42</v>
      </c>
      <c r="N14" s="18" t="s">
        <v>43</v>
      </c>
      <c r="O14" s="18" t="s">
        <v>44</v>
      </c>
      <c r="P14" s="18" t="s">
        <v>45</v>
      </c>
      <c r="Q14" s="18" t="s">
        <v>46</v>
      </c>
      <c r="R14" s="18" t="s">
        <v>47</v>
      </c>
      <c r="S14" s="18" t="s">
        <v>48</v>
      </c>
      <c r="T14" s="18" t="s">
        <v>49</v>
      </c>
      <c r="U14" s="18" t="s">
        <v>50</v>
      </c>
      <c r="V14" s="18" t="s">
        <v>51</v>
      </c>
      <c r="X14" s="18" t="s">
        <v>42</v>
      </c>
      <c r="Y14" s="18" t="s">
        <v>43</v>
      </c>
      <c r="Z14" s="18" t="s">
        <v>44</v>
      </c>
      <c r="AA14" s="18" t="s">
        <v>45</v>
      </c>
      <c r="AB14" s="18" t="s">
        <v>46</v>
      </c>
      <c r="AC14" s="18" t="s">
        <v>47</v>
      </c>
      <c r="AD14" s="18" t="s">
        <v>48</v>
      </c>
      <c r="AE14" s="18" t="s">
        <v>49</v>
      </c>
      <c r="AF14" s="18" t="s">
        <v>50</v>
      </c>
      <c r="AG14" s="18" t="s">
        <v>51</v>
      </c>
    </row>
    <row r="15" spans="1:33" x14ac:dyDescent="0.25">
      <c r="B15" s="1">
        <v>1.0891999999999999</v>
      </c>
      <c r="C15" s="1">
        <v>0.83079999999999998</v>
      </c>
      <c r="D15" s="1">
        <v>1.4489000000000001</v>
      </c>
      <c r="E15" s="1">
        <v>1.4218</v>
      </c>
      <c r="M15" t="s">
        <v>52</v>
      </c>
      <c r="N15">
        <f>SQRT(P11*(1/N9+1/N10))</f>
        <v>1.502071192108289E-2</v>
      </c>
      <c r="O15">
        <f>(ABS(O9-O10-Q7))/N15</f>
        <v>14.165440434374609</v>
      </c>
      <c r="P15">
        <f>N9+N10-2</f>
        <v>22</v>
      </c>
      <c r="Q15">
        <f>TDIST(O15,P15,1)</f>
        <v>7.7265179116568104E-13</v>
      </c>
      <c r="R15">
        <f>TINV(R13*2,P15)</f>
        <v>2.4989926214538407</v>
      </c>
      <c r="U15" s="20" t="str">
        <f>IF(Q15&lt;R13,"yes","no")</f>
        <v>yes</v>
      </c>
      <c r="V15">
        <f>SQRT(O15^2/(O15^2+P15))</f>
        <v>0.94931265377598295</v>
      </c>
      <c r="X15" t="s">
        <v>52</v>
      </c>
      <c r="Y15">
        <f>SQRT(AA11*(1/Y9+1/Y10))</f>
        <v>2.1033446639228008E-2</v>
      </c>
      <c r="Z15">
        <f>(ABS(Z9-Z10-AB7))/Y15</f>
        <v>23.571584589565084</v>
      </c>
      <c r="AA15">
        <f>Y9+Y10-2</f>
        <v>22</v>
      </c>
      <c r="AB15">
        <f>TDIST(Z15,AA15,1)</f>
        <v>2.0944594258132602E-17</v>
      </c>
      <c r="AC15">
        <f>TINV(AC13*2,AA15)</f>
        <v>2.4989926214538407</v>
      </c>
      <c r="AF15" s="20" t="str">
        <f>IF(AB15&lt;AC13,"yes","no")</f>
        <v>yes</v>
      </c>
      <c r="AG15">
        <f>SQRT(Z15^2/(Z15^2+AA15))</f>
        <v>0.98077145644775998</v>
      </c>
    </row>
    <row r="16" spans="1:33" x14ac:dyDescent="0.25">
      <c r="A16" s="12" t="s">
        <v>23</v>
      </c>
      <c r="B16" s="4">
        <f>AVERAGE(B4:B15)</f>
        <v>1.0631416666666669</v>
      </c>
      <c r="C16" s="4">
        <f t="shared" ref="C16:E16" si="0">AVERAGE(C4:C15)</f>
        <v>0.8503666666666666</v>
      </c>
      <c r="D16" s="4">
        <f t="shared" si="0"/>
        <v>1.5589333333333333</v>
      </c>
      <c r="E16" s="4">
        <f t="shared" si="0"/>
        <v>1.4569750000000001</v>
      </c>
      <c r="M16" t="s">
        <v>53</v>
      </c>
      <c r="N16">
        <f>N15</f>
        <v>1.502071192108289E-2</v>
      </c>
      <c r="O16">
        <f t="shared" ref="O16:P16" si="1">O15</f>
        <v>14.165440434374609</v>
      </c>
      <c r="P16">
        <f t="shared" si="1"/>
        <v>22</v>
      </c>
      <c r="Q16">
        <f>TDIST(O16,P16,2)</f>
        <v>1.5453035823313621E-12</v>
      </c>
      <c r="R16">
        <f>TINV(R13,P16)</f>
        <v>2.8097905669233527</v>
      </c>
      <c r="S16">
        <f>(O9-O10)-R16*N16</f>
        <v>0.17056994533566841</v>
      </c>
      <c r="T16">
        <f>(O9-O10)+R16*N16</f>
        <v>0.2549800546643321</v>
      </c>
      <c r="U16" s="20" t="str">
        <f>IF(Q16&lt;R13,"yes","no")</f>
        <v>yes</v>
      </c>
      <c r="V16">
        <f>V15</f>
        <v>0.94931265377598295</v>
      </c>
      <c r="X16" t="s">
        <v>53</v>
      </c>
      <c r="Y16">
        <f>Y15</f>
        <v>2.1033446639228008E-2</v>
      </c>
      <c r="Z16">
        <f t="shared" ref="Z16:AA16" si="2">Z15</f>
        <v>23.571584589565084</v>
      </c>
      <c r="AA16">
        <f t="shared" si="2"/>
        <v>22</v>
      </c>
      <c r="AB16">
        <f>TDIST(Z16,AA16,2)</f>
        <v>4.1889188516265203E-17</v>
      </c>
      <c r="AC16">
        <f>TINV(AC13,AA16)</f>
        <v>2.8097905669233527</v>
      </c>
      <c r="AD16">
        <f>(Z9-Z10)-AC16*Y16</f>
        <v>-0.55489124662345501</v>
      </c>
      <c r="AE16">
        <f>(Z9-Z10)+AC16*Y16</f>
        <v>-0.43669208670987786</v>
      </c>
      <c r="AF16" s="20" t="str">
        <f>IF(AB16&lt;AC13,"yes","no")</f>
        <v>yes</v>
      </c>
      <c r="AG16">
        <f>AG15</f>
        <v>0.98077145644775998</v>
      </c>
    </row>
    <row r="17" spans="1:33" x14ac:dyDescent="0.25">
      <c r="A17" s="16" t="s">
        <v>24</v>
      </c>
      <c r="B17" s="17">
        <f>_xlfn.STDEV.S(B4:B15)</f>
        <v>3.0435310185056547E-2</v>
      </c>
      <c r="C17" s="17">
        <f t="shared" ref="C17:E17" si="3">_xlfn.STDEV.S(C4:C15)</f>
        <v>4.2203712316967255E-2</v>
      </c>
      <c r="D17" s="17">
        <f t="shared" si="3"/>
        <v>6.6200924647941417E-2</v>
      </c>
      <c r="E17" s="17">
        <f t="shared" si="3"/>
        <v>5.1525741580830731E-2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5.75" thickBot="1" x14ac:dyDescent="0.3">
      <c r="M18" t="s">
        <v>54</v>
      </c>
      <c r="Q18" t="s">
        <v>41</v>
      </c>
      <c r="R18">
        <f>R13</f>
        <v>1.0206E-2</v>
      </c>
      <c r="X18" t="s">
        <v>54</v>
      </c>
      <c r="AB18" t="s">
        <v>41</v>
      </c>
      <c r="AC18">
        <f>AC13</f>
        <v>1.0206E-2</v>
      </c>
    </row>
    <row r="19" spans="1:33" ht="15.75" thickTop="1" x14ac:dyDescent="0.25">
      <c r="M19" s="18" t="s">
        <v>42</v>
      </c>
      <c r="N19" s="18" t="s">
        <v>43</v>
      </c>
      <c r="O19" s="18" t="s">
        <v>44</v>
      </c>
      <c r="P19" s="18" t="s">
        <v>45</v>
      </c>
      <c r="Q19" s="18" t="s">
        <v>46</v>
      </c>
      <c r="R19" s="18" t="s">
        <v>47</v>
      </c>
      <c r="S19" s="18" t="s">
        <v>48</v>
      </c>
      <c r="T19" s="18" t="s">
        <v>49</v>
      </c>
      <c r="U19" s="18" t="s">
        <v>50</v>
      </c>
      <c r="V19" s="18" t="s">
        <v>51</v>
      </c>
      <c r="X19" s="18" t="s">
        <v>42</v>
      </c>
      <c r="Y19" s="18" t="s">
        <v>43</v>
      </c>
      <c r="Z19" s="18" t="s">
        <v>44</v>
      </c>
      <c r="AA19" s="18" t="s">
        <v>45</v>
      </c>
      <c r="AB19" s="18" t="s">
        <v>46</v>
      </c>
      <c r="AC19" s="18" t="s">
        <v>47</v>
      </c>
      <c r="AD19" s="18" t="s">
        <v>48</v>
      </c>
      <c r="AE19" s="18" t="s">
        <v>49</v>
      </c>
      <c r="AF19" s="18" t="s">
        <v>50</v>
      </c>
      <c r="AG19" s="18" t="s">
        <v>51</v>
      </c>
    </row>
    <row r="20" spans="1:33" x14ac:dyDescent="0.25">
      <c r="M20" t="s">
        <v>52</v>
      </c>
      <c r="N20">
        <f>SQRT(P9/N9+P10/N10)</f>
        <v>1.5020711921082891E-2</v>
      </c>
      <c r="O20">
        <f>(ABS(O9-O10-Q7))/N20</f>
        <v>14.165440434374608</v>
      </c>
      <c r="P20">
        <f>(P9/N9+P10/N10)^2/((P9/N9)^2/(N9-1)+(P10/N10)^2/(N10-1))</f>
        <v>20.005642852182632</v>
      </c>
      <c r="Q20">
        <f>TDIST(O20,ROUND(P20,0),1)</f>
        <v>3.4412946689140595E-12</v>
      </c>
      <c r="R20">
        <f>TINV(R18*2,ROUND(P20,0))</f>
        <v>2.5184570405234394</v>
      </c>
      <c r="U20" s="20" t="str">
        <f>IF(Q20&lt;R18,"yes","no")</f>
        <v>yes</v>
      </c>
      <c r="V20">
        <f>SQRT(O20^2/(O20^2+P20))</f>
        <v>0.95359291330042961</v>
      </c>
      <c r="X20" t="s">
        <v>52</v>
      </c>
      <c r="Y20">
        <f>SQRT(AA9/Y9+AA10/Y10)</f>
        <v>2.1033446639228008E-2</v>
      </c>
      <c r="Z20">
        <f>(ABS(Z9-Z10-AB7))/Y20</f>
        <v>23.571584589565084</v>
      </c>
      <c r="AA20">
        <f>(AA9/Y9+AA10/Y10)^2/((AA9/Y9)^2/(Y9-1)+(AA10/Y10)^2/(Y10-1))</f>
        <v>15.451119501576779</v>
      </c>
      <c r="AB20">
        <f>TDIST(Z20,ROUND(AA20,0),1)</f>
        <v>1.4414948411518996E-13</v>
      </c>
      <c r="AC20">
        <f>TINV(AC18*2,ROUND(AA20,0))</f>
        <v>2.5922348410680347</v>
      </c>
      <c r="AF20" s="20" t="str">
        <f>IF(AB20&lt;AC18,"yes","no")</f>
        <v>yes</v>
      </c>
      <c r="AG20">
        <f>SQRT(Z20^2/(Z20^2+AA20))</f>
        <v>0.98637903315603859</v>
      </c>
    </row>
    <row r="21" spans="1:33" x14ac:dyDescent="0.25">
      <c r="M21" t="s">
        <v>53</v>
      </c>
      <c r="N21">
        <f>N20</f>
        <v>1.5020711921082891E-2</v>
      </c>
      <c r="O21">
        <f t="shared" ref="O21:P21" si="4">O20</f>
        <v>14.165440434374608</v>
      </c>
      <c r="P21">
        <f t="shared" si="4"/>
        <v>20.005642852182632</v>
      </c>
      <c r="Q21" s="12">
        <f>TDIST(O21,ROUND(P21,0),2)</f>
        <v>6.882589337828119E-12</v>
      </c>
      <c r="R21">
        <f>TINV(R18,ROUND(P21,0))</f>
        <v>2.8361552718121179</v>
      </c>
      <c r="S21">
        <f>(O9-O10)-R21*N21</f>
        <v>0.17017392869864989</v>
      </c>
      <c r="T21">
        <f>(O9-O10)+R21*N21</f>
        <v>0.25537607130135065</v>
      </c>
      <c r="U21" s="37" t="str">
        <f>IF(Q21&lt;R18,"yes","no")</f>
        <v>yes</v>
      </c>
      <c r="V21">
        <f>V20</f>
        <v>0.95359291330042961</v>
      </c>
      <c r="X21" t="s">
        <v>53</v>
      </c>
      <c r="Y21">
        <f>Y20</f>
        <v>2.1033446639228008E-2</v>
      </c>
      <c r="Z21">
        <f t="shared" ref="Z21:AA21" si="5">Z20</f>
        <v>23.571584589565084</v>
      </c>
      <c r="AA21">
        <f t="shared" si="5"/>
        <v>15.451119501576779</v>
      </c>
      <c r="AB21" s="12">
        <f>TDIST(Z21,ROUND(AA21,0),2)</f>
        <v>2.8829896823037993E-13</v>
      </c>
      <c r="AC21">
        <f>TINV(AC18,ROUND(AA21,0))</f>
        <v>2.9366760630362108</v>
      </c>
      <c r="AD21">
        <f>(Z9-Z10)-AC21*Y21</f>
        <v>-0.55756008593523676</v>
      </c>
      <c r="AE21">
        <f>(Z9-Z10)+AC21*Y21</f>
        <v>-0.43402324739809606</v>
      </c>
      <c r="AF21" s="37" t="str">
        <f>IF(AB21&lt;AC18,"yes","no")</f>
        <v>yes</v>
      </c>
      <c r="AG21">
        <f>AG20</f>
        <v>0.98637903315603859</v>
      </c>
    </row>
    <row r="22" spans="1:33" x14ac:dyDescent="0.25">
      <c r="M22" s="19"/>
      <c r="N22" s="19"/>
      <c r="O22" s="19"/>
      <c r="P22" s="19"/>
      <c r="Q22" s="19"/>
      <c r="R22" s="19"/>
      <c r="S22" s="19"/>
      <c r="T22" s="19"/>
      <c r="U22" s="19"/>
      <c r="V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5" spans="1:33" x14ac:dyDescent="0.25">
      <c r="M25" t="s">
        <v>31</v>
      </c>
      <c r="X25" t="s">
        <v>31</v>
      </c>
    </row>
    <row r="27" spans="1:33" ht="15.75" thickBot="1" x14ac:dyDescent="0.3">
      <c r="M27" t="s">
        <v>32</v>
      </c>
      <c r="P27" t="s">
        <v>33</v>
      </c>
      <c r="Q27">
        <v>0</v>
      </c>
      <c r="X27" t="s">
        <v>32</v>
      </c>
      <c r="AA27" t="s">
        <v>33</v>
      </c>
      <c r="AB27">
        <v>0</v>
      </c>
    </row>
    <row r="28" spans="1:33" ht="15.75" thickTop="1" x14ac:dyDescent="0.25">
      <c r="M28" s="18" t="s">
        <v>34</v>
      </c>
      <c r="N28" s="18" t="s">
        <v>35</v>
      </c>
      <c r="O28" s="18" t="s">
        <v>36</v>
      </c>
      <c r="P28" s="18" t="s">
        <v>37</v>
      </c>
      <c r="Q28" s="18" t="s">
        <v>38</v>
      </c>
      <c r="X28" s="18" t="s">
        <v>34</v>
      </c>
      <c r="Y28" s="18" t="s">
        <v>35</v>
      </c>
      <c r="Z28" s="18" t="s">
        <v>36</v>
      </c>
      <c r="AA28" s="18" t="s">
        <v>37</v>
      </c>
      <c r="AB28" s="18" t="s">
        <v>38</v>
      </c>
    </row>
    <row r="29" spans="1:33" x14ac:dyDescent="0.25">
      <c r="M29" s="12" t="str">
        <f>B3</f>
        <v>48 h</v>
      </c>
      <c r="N29">
        <f>COUNT(B4:B15)</f>
        <v>12</v>
      </c>
      <c r="O29" s="1">
        <f>AVERAGE(B4:B15)</f>
        <v>1.0631416666666669</v>
      </c>
      <c r="P29">
        <f>VAR(B4:B15)</f>
        <v>9.2630810606060673E-4</v>
      </c>
      <c r="X29" s="12" t="str">
        <f>C3</f>
        <v>gal</v>
      </c>
      <c r="Y29">
        <f>COUNT(C4:C15)</f>
        <v>12</v>
      </c>
      <c r="Z29" s="1">
        <f>AVERAGE(C4:C15)</f>
        <v>0.8503666666666666</v>
      </c>
      <c r="AA29">
        <f>VAR(C4:C15)</f>
        <v>1.7811533333333335E-3</v>
      </c>
    </row>
    <row r="30" spans="1:33" x14ac:dyDescent="0.25">
      <c r="M30" s="12" t="str">
        <f>E3</f>
        <v>72h</v>
      </c>
      <c r="N30">
        <f>COUNT(E4:E15)</f>
        <v>12</v>
      </c>
      <c r="O30" s="1">
        <f>AVERAGE(E4:E15)</f>
        <v>1.4569750000000001</v>
      </c>
      <c r="P30">
        <f>VAR(E4:E15)</f>
        <v>2.6549020454545488E-3</v>
      </c>
      <c r="X30" s="12" t="str">
        <f>E3</f>
        <v>72h</v>
      </c>
      <c r="Y30">
        <f>COUNT(E4:E15)</f>
        <v>12</v>
      </c>
      <c r="Z30" s="1">
        <f>AVERAGE(E4:E15)</f>
        <v>1.4569750000000001</v>
      </c>
      <c r="AA30">
        <f>VAR(E4:E15)</f>
        <v>2.6549020454545488E-3</v>
      </c>
    </row>
    <row r="31" spans="1:33" x14ac:dyDescent="0.25">
      <c r="M31" s="19" t="s">
        <v>39</v>
      </c>
      <c r="N31" s="19"/>
      <c r="O31" s="19"/>
      <c r="P31" s="19">
        <f>((N29-1)*P29+(N30-1)*P30)/(N29+N30-2)</f>
        <v>1.7906050757575777E-3</v>
      </c>
      <c r="Q31" s="19">
        <f>ABS(O29-O30-Q27)/SQRT(P31)</f>
        <v>9.3070611129684799</v>
      </c>
      <c r="X31" s="19" t="s">
        <v>39</v>
      </c>
      <c r="Y31" s="19"/>
      <c r="Z31" s="19"/>
      <c r="AA31" s="19">
        <f>((Y29-1)*AA29+(Y30-1)*AA30)/(Y29+Y30-2)</f>
        <v>2.2180276893939408E-3</v>
      </c>
      <c r="AB31" s="19">
        <f>ABS(Z29-Z30-AB27)/SQRT(AA31)</f>
        <v>12.880267731198705</v>
      </c>
    </row>
    <row r="33" spans="13:33" ht="15.75" thickBot="1" x14ac:dyDescent="0.3">
      <c r="M33" t="s">
        <v>40</v>
      </c>
      <c r="Q33" t="s">
        <v>41</v>
      </c>
      <c r="R33">
        <v>1.0206E-2</v>
      </c>
      <c r="X33" t="s">
        <v>40</v>
      </c>
      <c r="AB33" t="s">
        <v>41</v>
      </c>
      <c r="AC33">
        <v>1.0206E-2</v>
      </c>
    </row>
    <row r="34" spans="13:33" ht="15.75" thickTop="1" x14ac:dyDescent="0.25">
      <c r="M34" s="18" t="s">
        <v>42</v>
      </c>
      <c r="N34" s="18" t="s">
        <v>43</v>
      </c>
      <c r="O34" s="18" t="s">
        <v>44</v>
      </c>
      <c r="P34" s="18" t="s">
        <v>45</v>
      </c>
      <c r="Q34" s="18" t="s">
        <v>46</v>
      </c>
      <c r="R34" s="18" t="s">
        <v>47</v>
      </c>
      <c r="S34" s="18" t="s">
        <v>48</v>
      </c>
      <c r="T34" s="18" t="s">
        <v>49</v>
      </c>
      <c r="U34" s="18" t="s">
        <v>50</v>
      </c>
      <c r="V34" s="18" t="s">
        <v>51</v>
      </c>
      <c r="X34" s="18" t="s">
        <v>42</v>
      </c>
      <c r="Y34" s="18" t="s">
        <v>43</v>
      </c>
      <c r="Z34" s="18" t="s">
        <v>44</v>
      </c>
      <c r="AA34" s="18" t="s">
        <v>45</v>
      </c>
      <c r="AB34" s="18" t="s">
        <v>46</v>
      </c>
      <c r="AC34" s="18" t="s">
        <v>47</v>
      </c>
      <c r="AD34" s="18" t="s">
        <v>48</v>
      </c>
      <c r="AE34" s="18" t="s">
        <v>49</v>
      </c>
      <c r="AF34" s="18" t="s">
        <v>50</v>
      </c>
      <c r="AG34" s="18" t="s">
        <v>51</v>
      </c>
    </row>
    <row r="35" spans="13:33" x14ac:dyDescent="0.25">
      <c r="M35" t="s">
        <v>52</v>
      </c>
      <c r="N35">
        <f>SQRT(P31*(1/N29+1/N30))</f>
        <v>1.7275247589916897E-2</v>
      </c>
      <c r="O35">
        <f>(ABS(O29-O30-Q27))/N35</f>
        <v>22.797550731672484</v>
      </c>
      <c r="P35">
        <f>N29+N30-2</f>
        <v>22</v>
      </c>
      <c r="Q35">
        <f>TDIST(O35,P35,1)</f>
        <v>4.2467573911882241E-17</v>
      </c>
      <c r="R35">
        <f>TINV(R33*2,P35)</f>
        <v>2.4989926214538407</v>
      </c>
      <c r="U35" s="20" t="str">
        <f>IF(Q35&lt;R33,"yes","no")</f>
        <v>yes</v>
      </c>
      <c r="V35">
        <f>SQRT(O35^2/(O35^2+P35))</f>
        <v>0.97948416920147918</v>
      </c>
      <c r="X35" t="s">
        <v>52</v>
      </c>
      <c r="Y35">
        <f>SQRT(AA31*(1/Y29+1/Y30))</f>
        <v>1.9226837534177501E-2</v>
      </c>
      <c r="Z35">
        <f>(ABS(Z29-Z30-AB27))/Y35</f>
        <v>31.550083691872391</v>
      </c>
      <c r="AA35">
        <f>Y29+Y30-2</f>
        <v>22</v>
      </c>
      <c r="AB35">
        <f>TDIST(Z35,AA35,1)</f>
        <v>4.1050367329768467E-20</v>
      </c>
      <c r="AC35">
        <f>TINV(AC33*2,AA35)</f>
        <v>2.4989926214538407</v>
      </c>
      <c r="AF35" s="20" t="str">
        <f>IF(AB35&lt;AC33,"yes","no")</f>
        <v>yes</v>
      </c>
      <c r="AG35">
        <f>SQRT(Z35^2/(Z35^2+AA35))</f>
        <v>0.98912912128255925</v>
      </c>
    </row>
    <row r="36" spans="13:33" x14ac:dyDescent="0.25">
      <c r="M36" t="s">
        <v>53</v>
      </c>
      <c r="N36">
        <f>N35</f>
        <v>1.7275247589916897E-2</v>
      </c>
      <c r="O36">
        <f t="shared" ref="O36:P36" si="6">O35</f>
        <v>22.797550731672484</v>
      </c>
      <c r="P36">
        <f t="shared" si="6"/>
        <v>22</v>
      </c>
      <c r="Q36">
        <f>TDIST(O36,P36,2)</f>
        <v>8.4935147823764482E-17</v>
      </c>
      <c r="R36">
        <f>TINV(R33,P36)</f>
        <v>2.8097905669233527</v>
      </c>
      <c r="S36">
        <f>(O29-O30)-R36*N36</f>
        <v>-0.44237316105274715</v>
      </c>
      <c r="T36">
        <f>(O29-O30)+R36*N36</f>
        <v>-0.34529350561391936</v>
      </c>
      <c r="U36" s="20" t="str">
        <f>IF(Q36&lt;R33,"yes","no")</f>
        <v>yes</v>
      </c>
      <c r="V36">
        <f>V35</f>
        <v>0.97948416920147918</v>
      </c>
      <c r="X36" t="s">
        <v>53</v>
      </c>
      <c r="Y36">
        <f>Y35</f>
        <v>1.9226837534177501E-2</v>
      </c>
      <c r="Z36">
        <f t="shared" ref="Z36:AA36" si="7">Z35</f>
        <v>31.550083691872391</v>
      </c>
      <c r="AA36">
        <f t="shared" si="7"/>
        <v>22</v>
      </c>
      <c r="AB36">
        <f>TDIST(Z36,AA36,2)</f>
        <v>8.2100734659536934E-20</v>
      </c>
      <c r="AC36">
        <f>TINV(AC33,AA36)</f>
        <v>2.8097905669233527</v>
      </c>
      <c r="AD36">
        <f>(Z29-Z30)-AC36*Y36</f>
        <v>-0.66063172006863335</v>
      </c>
      <c r="AE36">
        <f>(Z29-Z30)+AC36*Y36</f>
        <v>-0.5525849465980337</v>
      </c>
      <c r="AF36" s="20" t="str">
        <f>IF(AB36&lt;AC33,"yes","no")</f>
        <v>yes</v>
      </c>
      <c r="AG36">
        <f>AG35</f>
        <v>0.98912912128255925</v>
      </c>
    </row>
    <row r="37" spans="13:33" x14ac:dyDescent="0.25">
      <c r="M37" s="19"/>
      <c r="N37" s="19"/>
      <c r="O37" s="19"/>
      <c r="P37" s="19"/>
      <c r="Q37" s="19"/>
      <c r="R37" s="19"/>
      <c r="S37" s="19"/>
      <c r="T37" s="19"/>
      <c r="U37" s="19"/>
      <c r="V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3:33" ht="15.75" thickBot="1" x14ac:dyDescent="0.3">
      <c r="M38" t="s">
        <v>54</v>
      </c>
      <c r="Q38" t="s">
        <v>41</v>
      </c>
      <c r="R38">
        <f>R33</f>
        <v>1.0206E-2</v>
      </c>
      <c r="X38" t="s">
        <v>54</v>
      </c>
      <c r="AB38" t="s">
        <v>41</v>
      </c>
      <c r="AC38">
        <f>AC33</f>
        <v>1.0206E-2</v>
      </c>
    </row>
    <row r="39" spans="13:33" ht="15.75" thickTop="1" x14ac:dyDescent="0.25">
      <c r="M39" s="18" t="s">
        <v>42</v>
      </c>
      <c r="N39" s="18" t="s">
        <v>43</v>
      </c>
      <c r="O39" s="18" t="s">
        <v>44</v>
      </c>
      <c r="P39" s="18" t="s">
        <v>45</v>
      </c>
      <c r="Q39" s="18" t="s">
        <v>46</v>
      </c>
      <c r="R39" s="18" t="s">
        <v>47</v>
      </c>
      <c r="S39" s="18" t="s">
        <v>48</v>
      </c>
      <c r="T39" s="18" t="s">
        <v>49</v>
      </c>
      <c r="U39" s="18" t="s">
        <v>50</v>
      </c>
      <c r="V39" s="18" t="s">
        <v>51</v>
      </c>
      <c r="X39" s="18" t="s">
        <v>42</v>
      </c>
      <c r="Y39" s="18" t="s">
        <v>43</v>
      </c>
      <c r="Z39" s="18" t="s">
        <v>44</v>
      </c>
      <c r="AA39" s="18" t="s">
        <v>45</v>
      </c>
      <c r="AB39" s="18" t="s">
        <v>46</v>
      </c>
      <c r="AC39" s="18" t="s">
        <v>47</v>
      </c>
      <c r="AD39" s="18" t="s">
        <v>48</v>
      </c>
      <c r="AE39" s="18" t="s">
        <v>49</v>
      </c>
      <c r="AF39" s="18" t="s">
        <v>50</v>
      </c>
      <c r="AG39" s="18" t="s">
        <v>51</v>
      </c>
    </row>
    <row r="40" spans="13:33" x14ac:dyDescent="0.25">
      <c r="M40" t="s">
        <v>52</v>
      </c>
      <c r="N40">
        <f>SQRT(P29/N29+P30/N30)</f>
        <v>1.7275247589916897E-2</v>
      </c>
      <c r="O40">
        <f>(ABS(O29-O30-Q27))/N40</f>
        <v>22.797550731672484</v>
      </c>
      <c r="P40">
        <f>(P29/N29+P30/N30)^2/((P29/N29)^2/(N29-1)+(P30/N30)^2/(N30-1))</f>
        <v>17.84288969029657</v>
      </c>
      <c r="Q40">
        <f>TDIST(O40,ROUND(P40,0),1)</f>
        <v>4.9690742775954456E-15</v>
      </c>
      <c r="R40">
        <f>TINV(R38*2,ROUND(P40,0))</f>
        <v>2.5426242301180184</v>
      </c>
      <c r="U40" s="20" t="str">
        <f>IF(Q40&lt;R38,"yes","no")</f>
        <v>yes</v>
      </c>
      <c r="V40">
        <f>SQRT(O40^2/(O40^2+P40))</f>
        <v>0.98326411683532444</v>
      </c>
      <c r="X40" t="s">
        <v>52</v>
      </c>
      <c r="Y40">
        <f>SQRT(AA29/Y29+AA30/Y30)</f>
        <v>1.9226837534177504E-2</v>
      </c>
      <c r="Z40">
        <f>(ABS(Z29-Z30-AB27))/Y40</f>
        <v>31.550083691872384</v>
      </c>
      <c r="AA40">
        <f>(AA29/Y29+AA30/Y30)^2/((AA29/Y29)^2/(Y29-1)+(AA30/Y30)^2/(Y30-1))</f>
        <v>21.17837833713925</v>
      </c>
      <c r="AB40">
        <f>TDIST(Z40,ROUND(AA40,0),1)</f>
        <v>1.769525912417994E-19</v>
      </c>
      <c r="AC40">
        <f>TINV(AC38*2,ROUND(AA40,0))</f>
        <v>2.5082270561149906</v>
      </c>
      <c r="AF40" s="20" t="str">
        <f>IF(AB40&lt;AC38,"yes","no")</f>
        <v>yes</v>
      </c>
      <c r="AG40">
        <f>SQRT(Z40^2/(Z40^2+AA40))</f>
        <v>0.98952875576752708</v>
      </c>
    </row>
    <row r="41" spans="13:33" x14ac:dyDescent="0.25">
      <c r="M41" t="s">
        <v>53</v>
      </c>
      <c r="N41">
        <f>N40</f>
        <v>1.7275247589916897E-2</v>
      </c>
      <c r="O41">
        <f t="shared" ref="O41:P41" si="8">O40</f>
        <v>22.797550731672484</v>
      </c>
      <c r="P41">
        <f t="shared" si="8"/>
        <v>17.84288969029657</v>
      </c>
      <c r="Q41" s="12">
        <f>TDIST(O41,ROUND(P41,0),2)</f>
        <v>9.9381485551908912E-15</v>
      </c>
      <c r="R41">
        <f>TINV(R38,ROUND(P41,0))</f>
        <v>2.8689807241754126</v>
      </c>
      <c r="S41">
        <f>(O29-O30)-R41*N41</f>
        <v>-0.4433956856741626</v>
      </c>
      <c r="T41">
        <f>(O29-O30)+R41*N41</f>
        <v>-0.34427098099250392</v>
      </c>
      <c r="U41" s="37" t="str">
        <f>IF(Q41&lt;R38,"yes","no")</f>
        <v>yes</v>
      </c>
      <c r="V41">
        <f>V40</f>
        <v>0.98326411683532444</v>
      </c>
      <c r="X41" t="s">
        <v>53</v>
      </c>
      <c r="Y41">
        <f>Y40</f>
        <v>1.9226837534177504E-2</v>
      </c>
      <c r="Z41">
        <f t="shared" ref="Z41:AA41" si="9">Z40</f>
        <v>31.550083691872384</v>
      </c>
      <c r="AA41">
        <f t="shared" si="9"/>
        <v>21.17837833713925</v>
      </c>
      <c r="AB41" s="12">
        <f>TDIST(Z41,ROUND(AA41,0),2)</f>
        <v>3.5390518248359881E-19</v>
      </c>
      <c r="AC41">
        <f>TINV(AC38,ROUND(AA41,0))</f>
        <v>2.8222905032211694</v>
      </c>
      <c r="AD41">
        <f>(Z29-Z30)-AC41*Y41</f>
        <v>-0.66087205431301899</v>
      </c>
      <c r="AE41">
        <f>(Z29-Z30)+AC41*Y41</f>
        <v>-0.55234461235364807</v>
      </c>
      <c r="AF41" s="37" t="str">
        <f>IF(AB41&lt;AC38,"yes","no")</f>
        <v>yes</v>
      </c>
      <c r="AG41">
        <f>AG40</f>
        <v>0.98952875576752708</v>
      </c>
    </row>
    <row r="42" spans="13:33" x14ac:dyDescent="0.25">
      <c r="M42" s="19"/>
      <c r="N42" s="19"/>
      <c r="O42" s="19"/>
      <c r="P42" s="19"/>
      <c r="Q42" s="19"/>
      <c r="R42" s="19"/>
      <c r="S42" s="19"/>
      <c r="T42" s="19"/>
      <c r="U42" s="19"/>
      <c r="V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4" spans="13:33" x14ac:dyDescent="0.25">
      <c r="M44" t="s">
        <v>31</v>
      </c>
    </row>
    <row r="46" spans="13:33" ht="15.75" thickBot="1" x14ac:dyDescent="0.3">
      <c r="M46" t="s">
        <v>32</v>
      </c>
      <c r="P46" t="s">
        <v>33</v>
      </c>
      <c r="Q46">
        <v>0</v>
      </c>
    </row>
    <row r="47" spans="13:33" ht="15.75" thickTop="1" x14ac:dyDescent="0.25">
      <c r="M47" s="18" t="s">
        <v>34</v>
      </c>
      <c r="N47" s="18" t="s">
        <v>35</v>
      </c>
      <c r="O47" s="18" t="s">
        <v>36</v>
      </c>
      <c r="P47" s="18" t="s">
        <v>37</v>
      </c>
      <c r="Q47" s="18" t="s">
        <v>38</v>
      </c>
    </row>
    <row r="48" spans="13:33" x14ac:dyDescent="0.25">
      <c r="M48" s="12" t="str">
        <f>D3</f>
        <v>glu</v>
      </c>
      <c r="N48">
        <f>COUNT(D4:D15)</f>
        <v>12</v>
      </c>
      <c r="O48" s="1">
        <f>AVERAGE(D4:D15)</f>
        <v>1.5589333333333333</v>
      </c>
      <c r="P48">
        <f>VAR(D4:D15)</f>
        <v>4.3825624242424177E-3</v>
      </c>
    </row>
    <row r="49" spans="13:22" x14ac:dyDescent="0.25">
      <c r="M49" s="12" t="str">
        <f>E3</f>
        <v>72h</v>
      </c>
      <c r="N49">
        <f>COUNT(E4:E15)</f>
        <v>12</v>
      </c>
      <c r="O49" s="1">
        <f>AVERAGE(E4:E15)</f>
        <v>1.4569750000000001</v>
      </c>
      <c r="P49">
        <f>VAR(E4:E15)</f>
        <v>2.6549020454545488E-3</v>
      </c>
    </row>
    <row r="50" spans="13:22" x14ac:dyDescent="0.25">
      <c r="M50" s="19" t="s">
        <v>39</v>
      </c>
      <c r="N50" s="19"/>
      <c r="O50" s="19"/>
      <c r="P50" s="19">
        <f>((N48-1)*P48+(N49-1)*P49)/(N48+N49-2)</f>
        <v>3.5187322348484832E-3</v>
      </c>
      <c r="Q50" s="19">
        <f>ABS(O48-O49-Q46)/SQRT(P50)</f>
        <v>1.7188169106582956</v>
      </c>
    </row>
    <row r="52" spans="13:22" ht="15.75" thickBot="1" x14ac:dyDescent="0.3">
      <c r="M52" t="s">
        <v>40</v>
      </c>
      <c r="Q52" t="s">
        <v>41</v>
      </c>
      <c r="R52">
        <v>1.0206E-2</v>
      </c>
    </row>
    <row r="53" spans="13:22" ht="15.75" thickTop="1" x14ac:dyDescent="0.25">
      <c r="M53" s="18" t="s">
        <v>42</v>
      </c>
      <c r="N53" s="18" t="s">
        <v>43</v>
      </c>
      <c r="O53" s="18" t="s">
        <v>44</v>
      </c>
      <c r="P53" s="18" t="s">
        <v>45</v>
      </c>
      <c r="Q53" s="18" t="s">
        <v>46</v>
      </c>
      <c r="R53" s="18" t="s">
        <v>47</v>
      </c>
      <c r="S53" s="18" t="s">
        <v>48</v>
      </c>
      <c r="T53" s="18" t="s">
        <v>49</v>
      </c>
      <c r="U53" s="18" t="s">
        <v>50</v>
      </c>
      <c r="V53" s="18" t="s">
        <v>51</v>
      </c>
    </row>
    <row r="54" spans="13:22" x14ac:dyDescent="0.25">
      <c r="M54" t="s">
        <v>52</v>
      </c>
      <c r="N54">
        <f>SQRT(P50*(1/N48+1/N49))</f>
        <v>2.4216840679055291E-2</v>
      </c>
      <c r="O54">
        <f>(ABS(O48-O49-Q46))/N54</f>
        <v>4.2102243923797653</v>
      </c>
      <c r="P54">
        <f>N48+N49-2</f>
        <v>22</v>
      </c>
      <c r="Q54">
        <f>TDIST(O54,P54,1)</f>
        <v>1.8053379971577494E-4</v>
      </c>
      <c r="R54">
        <f>TINV(R52*2,P54)</f>
        <v>2.4989926214538407</v>
      </c>
      <c r="U54" s="20" t="str">
        <f>IF(Q54&lt;R52,"yes","no")</f>
        <v>yes</v>
      </c>
      <c r="V54">
        <f>SQRT(O54^2/(O54^2+P54))</f>
        <v>0.66798680176652903</v>
      </c>
    </row>
    <row r="55" spans="13:22" x14ac:dyDescent="0.25">
      <c r="M55" t="s">
        <v>53</v>
      </c>
      <c r="N55">
        <f>N54</f>
        <v>2.4216840679055291E-2</v>
      </c>
      <c r="O55">
        <f t="shared" ref="O55:P55" si="10">O54</f>
        <v>4.2102243923797653</v>
      </c>
      <c r="P55">
        <f t="shared" si="10"/>
        <v>22</v>
      </c>
      <c r="Q55">
        <f>TDIST(O55,P55,2)</f>
        <v>3.6106759943154988E-4</v>
      </c>
      <c r="R55">
        <f>TINV(R52,P55)</f>
        <v>2.8097905669233527</v>
      </c>
      <c r="S55">
        <f>(O48-O49)-R55*N55</f>
        <v>3.3914082832637873E-2</v>
      </c>
      <c r="T55">
        <f>(O48-O49)+R55*N55</f>
        <v>0.17000258383402844</v>
      </c>
      <c r="U55" s="20" t="str">
        <f>IF(Q55&lt;R52,"yes","no")</f>
        <v>yes</v>
      </c>
      <c r="V55">
        <f>V54</f>
        <v>0.66798680176652903</v>
      </c>
    </row>
    <row r="56" spans="13:22" x14ac:dyDescent="0.25"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3:22" ht="15.75" thickBot="1" x14ac:dyDescent="0.3">
      <c r="M57" t="s">
        <v>54</v>
      </c>
      <c r="Q57" t="s">
        <v>41</v>
      </c>
      <c r="R57">
        <f>R52</f>
        <v>1.0206E-2</v>
      </c>
    </row>
    <row r="58" spans="13:22" ht="15.75" thickTop="1" x14ac:dyDescent="0.25">
      <c r="M58" s="18" t="s">
        <v>42</v>
      </c>
      <c r="N58" s="18" t="s">
        <v>43</v>
      </c>
      <c r="O58" s="18" t="s">
        <v>44</v>
      </c>
      <c r="P58" s="18" t="s">
        <v>45</v>
      </c>
      <c r="Q58" s="18" t="s">
        <v>46</v>
      </c>
      <c r="R58" s="18" t="s">
        <v>47</v>
      </c>
      <c r="S58" s="18" t="s">
        <v>48</v>
      </c>
      <c r="T58" s="18" t="s">
        <v>49</v>
      </c>
      <c r="U58" s="18" t="s">
        <v>50</v>
      </c>
      <c r="V58" s="18" t="s">
        <v>51</v>
      </c>
    </row>
    <row r="59" spans="13:22" x14ac:dyDescent="0.25">
      <c r="M59" t="s">
        <v>52</v>
      </c>
      <c r="N59">
        <f>SQRT(P48/N48+P49/N49)</f>
        <v>2.4216840679055291E-2</v>
      </c>
      <c r="O59">
        <f>(ABS(O48-O49-Q46))/N59</f>
        <v>4.2102243923797653</v>
      </c>
      <c r="P59">
        <f>(P48/N48+P49/N49)^2/((P48/N48)^2/(N48-1)+(P49/N49)^2/(N49-1))</f>
        <v>20.74947757760722</v>
      </c>
      <c r="Q59">
        <f>TDIST(O59,ROUND(P59,0),1)</f>
        <v>1.9651882182761322E-4</v>
      </c>
      <c r="R59">
        <f>TINV(R57*2,ROUND(P59,0))</f>
        <v>2.5082270561149906</v>
      </c>
      <c r="U59" s="20" t="str">
        <f>IF(Q59&lt;R57,"yes","no")</f>
        <v>yes</v>
      </c>
      <c r="V59">
        <f>SQRT(O59^2/(O59^2+P59))</f>
        <v>0.67875539269406471</v>
      </c>
    </row>
    <row r="60" spans="13:22" x14ac:dyDescent="0.25">
      <c r="M60" t="s">
        <v>53</v>
      </c>
      <c r="N60">
        <f>N59</f>
        <v>2.4216840679055291E-2</v>
      </c>
      <c r="O60">
        <f t="shared" ref="O60:P60" si="11">O59</f>
        <v>4.2102243923797653</v>
      </c>
      <c r="P60">
        <f t="shared" si="11"/>
        <v>20.74947757760722</v>
      </c>
      <c r="Q60" s="12">
        <f>TDIST(O60,ROUND(P60,0),2)</f>
        <v>3.9303764365522645E-4</v>
      </c>
      <c r="R60">
        <f>TINV(R57,ROUND(P60,0))</f>
        <v>2.8222905032211694</v>
      </c>
      <c r="S60">
        <f>(O48-O49)-R60*N60</f>
        <v>3.3611373866815314E-2</v>
      </c>
      <c r="T60">
        <f>(O48-O49)+R60*N60</f>
        <v>0.17030529279985099</v>
      </c>
      <c r="U60" s="37" t="str">
        <f>IF(Q60&lt;R57,"yes","no")</f>
        <v>yes</v>
      </c>
      <c r="V60">
        <f>V59</f>
        <v>0.67875539269406471</v>
      </c>
    </row>
    <row r="61" spans="13:22" x14ac:dyDescent="0.25">
      <c r="M61" s="19"/>
      <c r="N61" s="19"/>
      <c r="O61" s="19"/>
      <c r="P61" s="19"/>
      <c r="Q61" s="19"/>
      <c r="R61" s="19"/>
      <c r="S61" s="19"/>
      <c r="T61" s="19"/>
      <c r="U61" s="19"/>
      <c r="V61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opLeftCell="A4" workbookViewId="0">
      <selection activeCell="S25" sqref="S25"/>
    </sheetView>
  </sheetViews>
  <sheetFormatPr defaultRowHeight="15" x14ac:dyDescent="0.25"/>
  <cols>
    <col min="2" max="2" width="10.140625" bestFit="1" customWidth="1"/>
  </cols>
  <sheetData>
    <row r="1" spans="1:5" x14ac:dyDescent="0.25">
      <c r="A1" t="s">
        <v>71</v>
      </c>
    </row>
    <row r="2" spans="1:5" x14ac:dyDescent="0.25">
      <c r="B2" s="5">
        <v>42774</v>
      </c>
    </row>
    <row r="3" spans="1:5" x14ac:dyDescent="0.25">
      <c r="B3" s="6" t="s">
        <v>6</v>
      </c>
      <c r="C3" s="6" t="s">
        <v>7</v>
      </c>
      <c r="D3" s="6" t="s">
        <v>8</v>
      </c>
      <c r="E3" s="3" t="s">
        <v>2</v>
      </c>
    </row>
    <row r="4" spans="1:5" x14ac:dyDescent="0.25">
      <c r="B4" s="2">
        <v>0.1789</v>
      </c>
      <c r="C4" s="2">
        <v>0.1996</v>
      </c>
      <c r="D4" s="2">
        <v>0.5827</v>
      </c>
      <c r="E4" s="2">
        <v>0.32240000000000002</v>
      </c>
    </row>
    <row r="5" spans="1:5" x14ac:dyDescent="0.25">
      <c r="B5" s="2">
        <v>0.18990000000000001</v>
      </c>
      <c r="C5" s="2">
        <v>0.1933</v>
      </c>
      <c r="D5" s="2">
        <v>0.57909999999999995</v>
      </c>
      <c r="E5" s="2">
        <v>0.31950000000000001</v>
      </c>
    </row>
    <row r="6" spans="1:5" x14ac:dyDescent="0.25">
      <c r="B6" s="2">
        <v>0.20699999999999999</v>
      </c>
      <c r="C6" s="2">
        <v>0.23580000000000001</v>
      </c>
      <c r="D6" s="2">
        <v>0.62139999999999995</v>
      </c>
      <c r="E6" s="2">
        <v>0.34089999999999998</v>
      </c>
    </row>
    <row r="7" spans="1:5" x14ac:dyDescent="0.25">
      <c r="B7" s="2">
        <v>0.2102</v>
      </c>
      <c r="C7" s="2">
        <v>0.21029999999999999</v>
      </c>
      <c r="D7" s="2">
        <v>0.62919999999999998</v>
      </c>
      <c r="E7" s="2">
        <v>0.41370000000000001</v>
      </c>
    </row>
    <row r="8" spans="1:5" x14ac:dyDescent="0.25">
      <c r="B8" s="2">
        <v>0.19750000000000001</v>
      </c>
      <c r="C8" s="2">
        <v>0.2074</v>
      </c>
      <c r="D8" s="2">
        <v>0.61050000000000004</v>
      </c>
      <c r="E8" s="2">
        <v>0.33589999999999998</v>
      </c>
    </row>
    <row r="9" spans="1:5" x14ac:dyDescent="0.25">
      <c r="B9" s="2">
        <v>0.19020000000000001</v>
      </c>
      <c r="C9" s="2">
        <v>0.18329999999999999</v>
      </c>
      <c r="D9" s="2">
        <v>0.56130000000000002</v>
      </c>
      <c r="E9" s="2">
        <v>0.34849999999999998</v>
      </c>
    </row>
    <row r="10" spans="1:5" x14ac:dyDescent="0.25">
      <c r="A10" s="12" t="s">
        <v>23</v>
      </c>
      <c r="B10" s="4">
        <f>AVERAGE(B4:B9)</f>
        <v>0.19561666666666666</v>
      </c>
      <c r="C10" s="4">
        <f t="shared" ref="C10:E10" si="0">AVERAGE(C4:C9)</f>
        <v>0.20494999999999999</v>
      </c>
      <c r="D10" s="4">
        <f t="shared" si="0"/>
        <v>0.59736666666666671</v>
      </c>
      <c r="E10" s="4">
        <f t="shared" si="0"/>
        <v>0.34681666666666672</v>
      </c>
    </row>
    <row r="11" spans="1:5" x14ac:dyDescent="0.25">
      <c r="A11" s="16" t="s">
        <v>24</v>
      </c>
      <c r="B11" s="17">
        <f>_xlfn.STDEV.S(B4:B9)</f>
        <v>1.1724063573124574E-2</v>
      </c>
      <c r="C11" s="17">
        <f t="shared" ref="C11:E11" si="1">_xlfn.STDEV.S(C4:C9)</f>
        <v>1.7996749706544243E-2</v>
      </c>
      <c r="D11" s="17">
        <f t="shared" si="1"/>
        <v>2.688134421242112E-2</v>
      </c>
      <c r="E11" s="17">
        <f t="shared" si="1"/>
        <v>3.4562315701738892E-2</v>
      </c>
    </row>
    <row r="13" spans="1:5" x14ac:dyDescent="0.25">
      <c r="B13" s="5">
        <v>42787</v>
      </c>
    </row>
    <row r="14" spans="1:5" x14ac:dyDescent="0.25">
      <c r="B14" s="6" t="s">
        <v>6</v>
      </c>
      <c r="C14" s="6" t="s">
        <v>7</v>
      </c>
      <c r="D14" s="6" t="s">
        <v>8</v>
      </c>
      <c r="E14" s="3" t="s">
        <v>2</v>
      </c>
    </row>
    <row r="15" spans="1:5" x14ac:dyDescent="0.25">
      <c r="B15" s="2">
        <v>0.18779999999999999</v>
      </c>
      <c r="C15" s="2">
        <v>0.15529999999999999</v>
      </c>
      <c r="D15" s="2">
        <v>0.62670000000000003</v>
      </c>
      <c r="E15" s="2">
        <v>0.40799999999999997</v>
      </c>
    </row>
    <row r="16" spans="1:5" x14ac:dyDescent="0.25">
      <c r="B16" s="2">
        <v>0.1656</v>
      </c>
      <c r="C16" s="2">
        <v>0.16250000000000001</v>
      </c>
      <c r="D16" s="2">
        <v>0.76259999999999994</v>
      </c>
      <c r="E16" s="2">
        <v>0.40820000000000001</v>
      </c>
    </row>
    <row r="17" spans="1:29" x14ac:dyDescent="0.25">
      <c r="B17" s="2">
        <v>0.1656</v>
      </c>
      <c r="C17" s="2">
        <v>0.16700000000000001</v>
      </c>
      <c r="D17" s="2">
        <v>0.80510000000000004</v>
      </c>
      <c r="E17" s="2">
        <v>0.4017</v>
      </c>
    </row>
    <row r="18" spans="1:29" x14ac:dyDescent="0.25">
      <c r="B18" s="2">
        <v>0.14530000000000001</v>
      </c>
      <c r="C18" s="2">
        <v>0.15010000000000001</v>
      </c>
      <c r="D18" s="2">
        <v>0.77659999999999996</v>
      </c>
      <c r="E18" s="2">
        <v>0.39889999999999998</v>
      </c>
    </row>
    <row r="19" spans="1:29" x14ac:dyDescent="0.25">
      <c r="B19" s="2">
        <v>0.14610000000000001</v>
      </c>
      <c r="C19" s="2">
        <v>0.13950000000000001</v>
      </c>
      <c r="D19" s="2">
        <v>0.80759999999999998</v>
      </c>
      <c r="E19" s="2">
        <v>0.40089999999999998</v>
      </c>
    </row>
    <row r="20" spans="1:29" x14ac:dyDescent="0.25">
      <c r="B20" s="2">
        <v>0.15790000000000001</v>
      </c>
      <c r="C20" s="2">
        <v>0.15490000000000001</v>
      </c>
      <c r="D20" s="2">
        <v>0.7641</v>
      </c>
      <c r="E20" s="2">
        <v>0.43280000000000002</v>
      </c>
    </row>
    <row r="21" spans="1:29" x14ac:dyDescent="0.25">
      <c r="A21" s="12" t="s">
        <v>23</v>
      </c>
      <c r="B21" s="4">
        <f>AVERAGE(B15:B20)</f>
        <v>0.16138333333333335</v>
      </c>
      <c r="C21" s="4">
        <f t="shared" ref="C21" si="2">AVERAGE(C15:C20)</f>
        <v>0.15488333333333335</v>
      </c>
      <c r="D21" s="4">
        <f t="shared" ref="D21" si="3">AVERAGE(D15:D20)</f>
        <v>0.75711666666666666</v>
      </c>
      <c r="E21" s="4">
        <f t="shared" ref="E21" si="4">AVERAGE(E15:E20)</f>
        <v>0.40841666666666665</v>
      </c>
    </row>
    <row r="22" spans="1:29" x14ac:dyDescent="0.25">
      <c r="A22" s="16" t="s">
        <v>24</v>
      </c>
      <c r="B22" s="17">
        <f>_xlfn.STDEV.S(B15:B20)</f>
        <v>1.5733965382784675E-2</v>
      </c>
      <c r="C22" s="17">
        <f t="shared" ref="C22:E22" si="5">_xlfn.STDEV.S(C15:C20)</f>
        <v>9.6387585646008703E-3</v>
      </c>
      <c r="D22" s="17">
        <f t="shared" si="5"/>
        <v>6.6810041660417083E-2</v>
      </c>
      <c r="E22" s="17">
        <f t="shared" si="5"/>
        <v>1.2545503842678739E-2</v>
      </c>
    </row>
    <row r="24" spans="1:29" x14ac:dyDescent="0.25">
      <c r="A24" s="57" t="s">
        <v>27</v>
      </c>
      <c r="B24" s="5">
        <v>42913</v>
      </c>
    </row>
    <row r="25" spans="1:29" x14ac:dyDescent="0.25">
      <c r="B25" s="6" t="s">
        <v>6</v>
      </c>
      <c r="C25" s="6" t="s">
        <v>7</v>
      </c>
      <c r="D25" s="6" t="s">
        <v>8</v>
      </c>
      <c r="E25" s="3" t="s">
        <v>2</v>
      </c>
      <c r="N25" t="s">
        <v>46</v>
      </c>
      <c r="O25">
        <v>0.05</v>
      </c>
      <c r="P25" t="s">
        <v>80</v>
      </c>
      <c r="S25">
        <v>1.6951999999999998E-2</v>
      </c>
      <c r="Y25" t="s">
        <v>31</v>
      </c>
    </row>
    <row r="26" spans="1:29" x14ac:dyDescent="0.25">
      <c r="B26" s="2">
        <v>0.14299999999999999</v>
      </c>
      <c r="C26" s="2">
        <v>0.11899999999999999</v>
      </c>
      <c r="D26" s="2">
        <v>0.90800000000000003</v>
      </c>
      <c r="E26" s="2">
        <v>0.42899999999999999</v>
      </c>
    </row>
    <row r="27" spans="1:29" ht="15.75" thickBot="1" x14ac:dyDescent="0.3">
      <c r="B27" s="2">
        <v>0.14599999999999999</v>
      </c>
      <c r="C27" s="2">
        <v>0.124</v>
      </c>
      <c r="D27" s="2">
        <v>0.93200000000000005</v>
      </c>
      <c r="E27" s="2">
        <v>0.46800000000000003</v>
      </c>
      <c r="N27" t="s">
        <v>31</v>
      </c>
      <c r="Y27" t="s">
        <v>32</v>
      </c>
      <c r="AB27" t="s">
        <v>33</v>
      </c>
      <c r="AC27">
        <v>0</v>
      </c>
    </row>
    <row r="28" spans="1:29" ht="15.75" thickTop="1" x14ac:dyDescent="0.25">
      <c r="B28" s="2">
        <v>0.14399999999999999</v>
      </c>
      <c r="C28" s="2">
        <v>0.13100000000000001</v>
      </c>
      <c r="D28" s="2">
        <v>0.97299999999999998</v>
      </c>
      <c r="E28" s="2">
        <v>0.55400000000000005</v>
      </c>
      <c r="Y28" s="18" t="s">
        <v>34</v>
      </c>
      <c r="Z28" s="18" t="s">
        <v>35</v>
      </c>
      <c r="AA28" s="18" t="s">
        <v>36</v>
      </c>
      <c r="AB28" s="18" t="s">
        <v>37</v>
      </c>
      <c r="AC28" s="18" t="s">
        <v>38</v>
      </c>
    </row>
    <row r="29" spans="1:29" ht="15.75" thickBot="1" x14ac:dyDescent="0.3">
      <c r="B29" s="2">
        <v>0.122</v>
      </c>
      <c r="C29" s="2">
        <v>0.13200000000000001</v>
      </c>
      <c r="D29" s="2">
        <v>0.97399999999999998</v>
      </c>
      <c r="E29" s="2">
        <v>0.621</v>
      </c>
      <c r="N29" t="s">
        <v>32</v>
      </c>
      <c r="Q29" t="s">
        <v>33</v>
      </c>
      <c r="R29">
        <v>0</v>
      </c>
      <c r="Y29" s="44" t="str">
        <f>C25</f>
        <v>0.5 mg/mL</v>
      </c>
      <c r="Z29">
        <f>COUNT(C26:C37)</f>
        <v>12</v>
      </c>
      <c r="AA29" s="2">
        <f>AVERAGE(C26:C37)</f>
        <v>0.12758333333333335</v>
      </c>
      <c r="AB29">
        <f>VAR(C26:C37)</f>
        <v>7.6992424242424283E-5</v>
      </c>
    </row>
    <row r="30" spans="1:29" ht="15.75" thickTop="1" x14ac:dyDescent="0.25">
      <c r="B30" s="2">
        <v>0.13700000000000001</v>
      </c>
      <c r="C30" s="2">
        <v>0.14299999999999999</v>
      </c>
      <c r="D30" s="2">
        <v>1.0149999999999999</v>
      </c>
      <c r="E30" s="2">
        <v>0.44600000000000001</v>
      </c>
      <c r="N30" s="18" t="s">
        <v>34</v>
      </c>
      <c r="O30" s="18" t="s">
        <v>35</v>
      </c>
      <c r="P30" s="18" t="s">
        <v>36</v>
      </c>
      <c r="Q30" s="18" t="s">
        <v>37</v>
      </c>
      <c r="R30" s="18" t="s">
        <v>38</v>
      </c>
      <c r="Y30" s="12" t="str">
        <f>E25</f>
        <v>ctrl</v>
      </c>
      <c r="Z30">
        <f>COUNT(E26:E37)</f>
        <v>12</v>
      </c>
      <c r="AA30" s="2">
        <f>AVERAGE(E26:E37)</f>
        <v>0.48633333333333334</v>
      </c>
      <c r="AB30">
        <f>VAR(E26:E37)</f>
        <v>4.2795151515151453E-3</v>
      </c>
    </row>
    <row r="31" spans="1:29" x14ac:dyDescent="0.25">
      <c r="B31" s="2">
        <v>0.13400000000000001</v>
      </c>
      <c r="C31" s="2">
        <v>0.122</v>
      </c>
      <c r="D31" s="2">
        <v>0.98699999999999999</v>
      </c>
      <c r="E31" s="2">
        <v>0.56499999999999995</v>
      </c>
      <c r="N31" s="44" t="str">
        <f>B25</f>
        <v>1 mg/mL</v>
      </c>
      <c r="O31">
        <f>COUNT(B26:B37)</f>
        <v>12</v>
      </c>
      <c r="P31" s="2">
        <f>AVERAGE(B26:B37)</f>
        <v>0.13383333333333333</v>
      </c>
      <c r="Q31">
        <f>VAR(B26:B37)</f>
        <v>1.072424242424242E-4</v>
      </c>
      <c r="Y31" s="19" t="s">
        <v>39</v>
      </c>
      <c r="Z31" s="19"/>
      <c r="AA31" s="19"/>
      <c r="AB31" s="19">
        <f>((Z29-1)*AB29+(Z30-1)*AB30)/(Z29+Z30-2)</f>
        <v>2.178253787878785E-3</v>
      </c>
      <c r="AC31" s="19">
        <f>ABS(AA29-AA30-AC27)/SQRT(AB31)</f>
        <v>7.6866599859459983</v>
      </c>
    </row>
    <row r="32" spans="1:29" x14ac:dyDescent="0.25">
      <c r="B32" s="2">
        <v>0.122</v>
      </c>
      <c r="C32" s="2">
        <v>0.128</v>
      </c>
      <c r="D32" s="2">
        <v>0.88300000000000001</v>
      </c>
      <c r="E32" s="2">
        <v>0.40699999999999997</v>
      </c>
      <c r="N32" s="12" t="str">
        <f>E25</f>
        <v>ctrl</v>
      </c>
      <c r="O32">
        <f>COUNT(E26:E37)</f>
        <v>12</v>
      </c>
      <c r="P32" s="2">
        <f>AVERAGE(E26:E37)</f>
        <v>0.48633333333333334</v>
      </c>
      <c r="Q32">
        <f>VAR(E26:E37)</f>
        <v>4.2795151515151453E-3</v>
      </c>
    </row>
    <row r="33" spans="1:34" ht="15.75" thickBot="1" x14ac:dyDescent="0.3">
      <c r="B33" s="2">
        <v>0.125</v>
      </c>
      <c r="C33" s="2">
        <v>0.12</v>
      </c>
      <c r="D33" s="2">
        <v>0.84</v>
      </c>
      <c r="E33" s="2">
        <v>0.42499999999999999</v>
      </c>
      <c r="N33" s="19" t="s">
        <v>39</v>
      </c>
      <c r="O33" s="19"/>
      <c r="P33" s="19"/>
      <c r="Q33" s="19">
        <f>((O31-1)*Q31+(O32-1)*Q32)/(O31+O32-2)</f>
        <v>2.193378787878785E-3</v>
      </c>
      <c r="R33" s="19">
        <f>ABS(P31-P32-R29)/SQRT(Q33)</f>
        <v>7.526660062036223</v>
      </c>
      <c r="Y33" t="s">
        <v>40</v>
      </c>
      <c r="AC33" t="s">
        <v>41</v>
      </c>
      <c r="AD33">
        <v>1.6951999999999998E-2</v>
      </c>
    </row>
    <row r="34" spans="1:34" ht="15.75" thickTop="1" x14ac:dyDescent="0.25">
      <c r="B34" s="2">
        <v>0.13</v>
      </c>
      <c r="C34" s="2">
        <v>0.13700000000000001</v>
      </c>
      <c r="D34" s="2">
        <v>0.89200000000000002</v>
      </c>
      <c r="E34" s="2">
        <v>0.45300000000000001</v>
      </c>
      <c r="Y34" s="18" t="s">
        <v>42</v>
      </c>
      <c r="Z34" s="18" t="s">
        <v>43</v>
      </c>
      <c r="AA34" s="18" t="s">
        <v>44</v>
      </c>
      <c r="AB34" s="18" t="s">
        <v>45</v>
      </c>
      <c r="AC34" s="18" t="s">
        <v>46</v>
      </c>
      <c r="AD34" s="18" t="s">
        <v>47</v>
      </c>
      <c r="AE34" s="18" t="s">
        <v>48</v>
      </c>
      <c r="AF34" s="18" t="s">
        <v>49</v>
      </c>
      <c r="AG34" s="18" t="s">
        <v>50</v>
      </c>
      <c r="AH34" s="18" t="s">
        <v>51</v>
      </c>
    </row>
    <row r="35" spans="1:34" ht="15.75" thickBot="1" x14ac:dyDescent="0.3">
      <c r="B35" s="2">
        <v>0.13700000000000001</v>
      </c>
      <c r="C35" s="2">
        <v>0.13800000000000001</v>
      </c>
      <c r="D35" s="2">
        <v>0.86</v>
      </c>
      <c r="E35" s="2">
        <v>0.46500000000000002</v>
      </c>
      <c r="N35" t="s">
        <v>40</v>
      </c>
      <c r="R35" t="s">
        <v>41</v>
      </c>
      <c r="S35">
        <v>1.6951999999999998E-2</v>
      </c>
      <c r="Y35" t="s">
        <v>52</v>
      </c>
      <c r="Z35">
        <f>SQRT(AB31*(1/Z29+1/Z30))</f>
        <v>1.9053668885015227E-2</v>
      </c>
      <c r="AA35">
        <f>(ABS(AA29-AA30-AC27))/Z35</f>
        <v>18.828394791836612</v>
      </c>
      <c r="AB35">
        <f>Z29+Z30-2</f>
        <v>22</v>
      </c>
      <c r="AC35">
        <f>TDIST(AA35,AB35,1)</f>
        <v>2.3434211837715214E-15</v>
      </c>
      <c r="AD35">
        <f>TINV(AD33*2,AB35)</f>
        <v>2.2622068830146289</v>
      </c>
      <c r="AG35" s="20" t="str">
        <f>IF(AC35&lt;AD33,"yes","no")</f>
        <v>yes</v>
      </c>
      <c r="AH35">
        <f>SQRT(AA35^2/(AA35^2+AB35))</f>
        <v>0.97034446283497511</v>
      </c>
    </row>
    <row r="36" spans="1:34" ht="15.75" thickTop="1" x14ac:dyDescent="0.25">
      <c r="B36" s="2">
        <v>0.14799999999999999</v>
      </c>
      <c r="C36" s="2">
        <v>0.123</v>
      </c>
      <c r="D36" s="2">
        <v>0.83</v>
      </c>
      <c r="E36" s="2">
        <v>0.48099999999999998</v>
      </c>
      <c r="N36" s="18" t="s">
        <v>42</v>
      </c>
      <c r="O36" s="18" t="s">
        <v>43</v>
      </c>
      <c r="P36" s="18" t="s">
        <v>44</v>
      </c>
      <c r="Q36" s="18" t="s">
        <v>45</v>
      </c>
      <c r="R36" s="18" t="s">
        <v>46</v>
      </c>
      <c r="S36" s="18" t="s">
        <v>47</v>
      </c>
      <c r="T36" s="18" t="s">
        <v>48</v>
      </c>
      <c r="U36" s="18" t="s">
        <v>49</v>
      </c>
      <c r="V36" s="18" t="s">
        <v>50</v>
      </c>
      <c r="W36" s="18" t="s">
        <v>51</v>
      </c>
      <c r="Y36" t="s">
        <v>53</v>
      </c>
      <c r="Z36">
        <f>Z35</f>
        <v>1.9053668885015227E-2</v>
      </c>
      <c r="AA36">
        <f t="shared" ref="AA36:AB36" si="6">AA35</f>
        <v>18.828394791836612</v>
      </c>
      <c r="AB36">
        <f t="shared" si="6"/>
        <v>22</v>
      </c>
      <c r="AC36">
        <f>TDIST(AA36,AB36,2)</f>
        <v>4.6868423675430428E-15</v>
      </c>
      <c r="AD36">
        <f>TINV(AD33,AB36)</f>
        <v>2.583535013457924</v>
      </c>
      <c r="AE36">
        <f>(AA29-AA30)-AD36*Z36</f>
        <v>-0.40797582069927063</v>
      </c>
      <c r="AF36">
        <f>(AA29-AA30)+AD36*Z36</f>
        <v>-0.3095241793007294</v>
      </c>
      <c r="AG36" s="20" t="str">
        <f>IF(AC36&lt;AD33,"yes","no")</f>
        <v>yes</v>
      </c>
      <c r="AH36">
        <f>AH35</f>
        <v>0.97034446283497511</v>
      </c>
    </row>
    <row r="37" spans="1:34" x14ac:dyDescent="0.25">
      <c r="B37" s="2">
        <v>0.11799999999999999</v>
      </c>
      <c r="C37" s="2">
        <v>0.114</v>
      </c>
      <c r="D37" s="2">
        <v>0.89800000000000002</v>
      </c>
      <c r="E37" s="2">
        <v>0.52200000000000002</v>
      </c>
      <c r="N37" t="s">
        <v>52</v>
      </c>
      <c r="O37">
        <f>SQRT(Q33*(1/O31+1/O32))</f>
        <v>1.9119705314495063E-2</v>
      </c>
      <c r="P37">
        <f>(ABS(P31-P32-R29))/O37</f>
        <v>18.436476619373529</v>
      </c>
      <c r="Q37">
        <f>O31+O32-2</f>
        <v>22</v>
      </c>
      <c r="R37">
        <f>TDIST(P37,Q37,1)</f>
        <v>3.6253197346160917E-15</v>
      </c>
      <c r="S37">
        <f>TINV(S35*2,Q37)</f>
        <v>2.2622068830146289</v>
      </c>
      <c r="V37" s="20" t="str">
        <f>IF(R37&lt;S35,"yes","no")</f>
        <v>yes</v>
      </c>
      <c r="W37">
        <f>SQRT(P37^2/(P37^2+Q37))</f>
        <v>0.96912865138223936</v>
      </c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ht="15.75" thickBot="1" x14ac:dyDescent="0.3">
      <c r="A38" s="12" t="s">
        <v>23</v>
      </c>
      <c r="B38" s="4">
        <f>AVERAGE(B26:B37)</f>
        <v>0.13383333333333333</v>
      </c>
      <c r="C38" s="4">
        <f t="shared" ref="C38:E38" si="7">AVERAGE(C26:C37)</f>
        <v>0.12758333333333335</v>
      </c>
      <c r="D38" s="4">
        <f t="shared" si="7"/>
        <v>0.91599999999999993</v>
      </c>
      <c r="E38" s="4">
        <f t="shared" si="7"/>
        <v>0.48633333333333334</v>
      </c>
      <c r="N38" t="s">
        <v>53</v>
      </c>
      <c r="O38">
        <f>O37</f>
        <v>1.9119705314495063E-2</v>
      </c>
      <c r="P38">
        <f t="shared" ref="P38:Q38" si="8">P37</f>
        <v>18.436476619373529</v>
      </c>
      <c r="Q38">
        <f t="shared" si="8"/>
        <v>22</v>
      </c>
      <c r="R38">
        <f>TDIST(P38,Q38,2)</f>
        <v>7.2506394692321835E-15</v>
      </c>
      <c r="S38">
        <f>TINV(S35,Q38)</f>
        <v>2.583535013457924</v>
      </c>
      <c r="T38">
        <f>(P31-P32)-S38*O38</f>
        <v>-0.40189642812699555</v>
      </c>
      <c r="U38">
        <f>(P31-P32)+S38*O38</f>
        <v>-0.30310357187300452</v>
      </c>
      <c r="V38" s="20" t="str">
        <f>IF(R38&lt;S35,"yes","no")</f>
        <v>yes</v>
      </c>
      <c r="W38">
        <f>W37</f>
        <v>0.96912865138223936</v>
      </c>
      <c r="Y38" t="s">
        <v>54</v>
      </c>
      <c r="AC38" t="s">
        <v>41</v>
      </c>
      <c r="AD38">
        <f>AD33</f>
        <v>1.6951999999999998E-2</v>
      </c>
    </row>
    <row r="39" spans="1:34" ht="15.75" thickTop="1" x14ac:dyDescent="0.25">
      <c r="A39" s="16" t="s">
        <v>24</v>
      </c>
      <c r="B39" s="17">
        <f>_xlfn.STDEV.S(B26:B37)</f>
        <v>1.0355791821122333E-2</v>
      </c>
      <c r="C39" s="17">
        <f t="shared" ref="C39:E39" si="9">_xlfn.STDEV.S(C26:C37)</f>
        <v>8.7745327079237836E-3</v>
      </c>
      <c r="D39" s="17">
        <f t="shared" si="9"/>
        <v>6.0356516557113278E-2</v>
      </c>
      <c r="E39" s="17">
        <f t="shared" si="9"/>
        <v>6.5418003267565E-2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Y39" s="18" t="s">
        <v>42</v>
      </c>
      <c r="Z39" s="18" t="s">
        <v>43</v>
      </c>
      <c r="AA39" s="18" t="s">
        <v>44</v>
      </c>
      <c r="AB39" s="18" t="s">
        <v>45</v>
      </c>
      <c r="AC39" s="18" t="s">
        <v>46</v>
      </c>
      <c r="AD39" s="18" t="s">
        <v>47</v>
      </c>
      <c r="AE39" s="18" t="s">
        <v>48</v>
      </c>
      <c r="AF39" s="18" t="s">
        <v>49</v>
      </c>
      <c r="AG39" s="18" t="s">
        <v>50</v>
      </c>
      <c r="AH39" s="18" t="s">
        <v>51</v>
      </c>
    </row>
    <row r="40" spans="1:34" ht="15.75" thickBot="1" x14ac:dyDescent="0.3">
      <c r="N40" t="s">
        <v>54</v>
      </c>
      <c r="R40" t="s">
        <v>41</v>
      </c>
      <c r="S40">
        <f>S35</f>
        <v>1.6951999999999998E-2</v>
      </c>
      <c r="Y40" t="s">
        <v>52</v>
      </c>
      <c r="Z40">
        <f>SQRT(AB29/Z29+AB30/Z30)</f>
        <v>1.9053668885015227E-2</v>
      </c>
      <c r="AA40">
        <f>(ABS(AA29-AA30-AC27))/Z40</f>
        <v>18.828394791836612</v>
      </c>
      <c r="AB40">
        <f>(AB29/Z29+AB30/Z30)^2/((AB29/Z29)^2/(Z29-1)+(AB30/Z30)^2/(Z30-1))</f>
        <v>11.395672220376399</v>
      </c>
      <c r="AC40">
        <f>TDIST(AA40,ROUND(AB40,0),1)</f>
        <v>5.1013459978523651E-10</v>
      </c>
      <c r="AD40">
        <f>TINV(AD38*2,ROUND(AB40,0))</f>
        <v>2.421710574985525</v>
      </c>
      <c r="AG40" s="20" t="str">
        <f>IF(AC40&lt;AD38,"yes","no")</f>
        <v>yes</v>
      </c>
      <c r="AH40">
        <f>SQRT(AA40^2/(AA40^2+AB40))</f>
        <v>0.98430489438126678</v>
      </c>
    </row>
    <row r="41" spans="1:34" ht="15.75" thickTop="1" x14ac:dyDescent="0.25">
      <c r="N41" s="18" t="s">
        <v>42</v>
      </c>
      <c r="O41" s="18" t="s">
        <v>43</v>
      </c>
      <c r="P41" s="18" t="s">
        <v>44</v>
      </c>
      <c r="Q41" s="18" t="s">
        <v>45</v>
      </c>
      <c r="R41" s="18" t="s">
        <v>46</v>
      </c>
      <c r="S41" s="18" t="s">
        <v>47</v>
      </c>
      <c r="T41" s="18" t="s">
        <v>48</v>
      </c>
      <c r="U41" s="18" t="s">
        <v>49</v>
      </c>
      <c r="V41" s="18" t="s">
        <v>50</v>
      </c>
      <c r="W41" s="18" t="s">
        <v>51</v>
      </c>
      <c r="Y41" t="s">
        <v>53</v>
      </c>
      <c r="Z41">
        <f>Z40</f>
        <v>1.9053668885015227E-2</v>
      </c>
      <c r="AA41">
        <f t="shared" ref="AA41:AB41" si="10">AA40</f>
        <v>18.828394791836612</v>
      </c>
      <c r="AB41">
        <f t="shared" si="10"/>
        <v>11.395672220376399</v>
      </c>
      <c r="AC41" s="12">
        <f>TDIST(AA41,ROUND(AB41,0),2)</f>
        <v>1.020269199570473E-9</v>
      </c>
      <c r="AD41">
        <f>TINV(AD38,ROUND(AB41,0))</f>
        <v>2.8105442548544133</v>
      </c>
      <c r="AE41">
        <f>(AA29-AA30)-AD41*Z41</f>
        <v>-0.41230117961867785</v>
      </c>
      <c r="AF41">
        <f>(AA29-AA30)+AD41*Z41</f>
        <v>-0.30519882038132218</v>
      </c>
      <c r="AG41" s="37" t="str">
        <f>IF(AC41&lt;AD38,"yes","no")</f>
        <v>yes</v>
      </c>
      <c r="AH41">
        <f>AH40</f>
        <v>0.98430489438126678</v>
      </c>
    </row>
    <row r="42" spans="1:34" x14ac:dyDescent="0.25">
      <c r="N42" t="s">
        <v>52</v>
      </c>
      <c r="O42">
        <f>SQRT(Q31/O31+Q32/O32)</f>
        <v>1.9119705314495063E-2</v>
      </c>
      <c r="P42">
        <f>(ABS(P31-P32-R29))/O42</f>
        <v>18.436476619373529</v>
      </c>
      <c r="Q42">
        <f>(Q31/O31+Q32/O32)^2/((Q31/O31)^2/(O31-1)+(Q32/O32)^2/(O32-1))</f>
        <v>11.550962567335844</v>
      </c>
      <c r="R42">
        <f>TDIST(P42,ROUND(Q42,0),1)</f>
        <v>1.7999951761157299E-10</v>
      </c>
      <c r="S42">
        <f>TINV(S40*2,ROUND(Q42,0))</f>
        <v>2.393730101908818</v>
      </c>
      <c r="V42" s="20" t="str">
        <f>IF(R42&lt;S40,"yes","no")</f>
        <v>yes</v>
      </c>
      <c r="W42">
        <f>SQRT(P42^2/(P42^2+Q42))</f>
        <v>0.98342963379206094</v>
      </c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x14ac:dyDescent="0.25">
      <c r="N43" t="s">
        <v>53</v>
      </c>
      <c r="O43">
        <f>O42</f>
        <v>1.9119705314495063E-2</v>
      </c>
      <c r="P43">
        <f t="shared" ref="P43:Q43" si="11">P42</f>
        <v>18.436476619373529</v>
      </c>
      <c r="Q43">
        <f t="shared" si="11"/>
        <v>11.550962567335844</v>
      </c>
      <c r="R43" s="12">
        <f>TDIST(P43,ROUND(Q43,0),2)</f>
        <v>3.5999903522314597E-10</v>
      </c>
      <c r="S43">
        <f>TINV(S40,ROUND(Q43,0))</f>
        <v>2.7703150585684071</v>
      </c>
      <c r="T43">
        <f>(P31-P32)-S43*O43</f>
        <v>-0.4054676075481361</v>
      </c>
      <c r="U43">
        <f>(P31-P32)+S43*O43</f>
        <v>-0.29953239245186397</v>
      </c>
      <c r="V43" s="37" t="str">
        <f>IF(R43&lt;S40,"yes","no")</f>
        <v>yes</v>
      </c>
      <c r="W43">
        <f>W42</f>
        <v>0.98342963379206094</v>
      </c>
    </row>
    <row r="44" spans="1:34" x14ac:dyDescent="0.25"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6" spans="1:34" x14ac:dyDescent="0.25">
      <c r="N46" t="s">
        <v>31</v>
      </c>
    </row>
    <row r="48" spans="1:34" ht="15.75" thickBot="1" x14ac:dyDescent="0.3">
      <c r="N48" t="s">
        <v>32</v>
      </c>
      <c r="Q48" t="s">
        <v>33</v>
      </c>
      <c r="R48">
        <v>0</v>
      </c>
    </row>
    <row r="49" spans="14:23" ht="15.75" thickTop="1" x14ac:dyDescent="0.25">
      <c r="N49" s="18" t="s">
        <v>34</v>
      </c>
      <c r="O49" s="18" t="s">
        <v>35</v>
      </c>
      <c r="P49" s="18" t="s">
        <v>36</v>
      </c>
      <c r="Q49" s="18" t="s">
        <v>37</v>
      </c>
      <c r="R49" s="18" t="s">
        <v>38</v>
      </c>
    </row>
    <row r="50" spans="14:23" x14ac:dyDescent="0.25">
      <c r="N50" s="44" t="str">
        <f>D25</f>
        <v>0.1 mg/mL</v>
      </c>
      <c r="O50">
        <f>COUNT(D26:D37)</f>
        <v>12</v>
      </c>
      <c r="P50" s="2">
        <f>AVERAGE(D26:D37)</f>
        <v>0.91599999999999993</v>
      </c>
      <c r="Q50">
        <f>VAR(D26:D37)</f>
        <v>3.6429090909090894E-3</v>
      </c>
    </row>
    <row r="51" spans="14:23" x14ac:dyDescent="0.25">
      <c r="N51" s="12" t="str">
        <f>E25</f>
        <v>ctrl</v>
      </c>
      <c r="O51">
        <f>COUNT(E26:E37)</f>
        <v>12</v>
      </c>
      <c r="P51" s="2">
        <f>AVERAGE(E26:E37)</f>
        <v>0.48633333333333334</v>
      </c>
      <c r="Q51">
        <f>VAR(E26:E37)</f>
        <v>4.2795151515151453E-3</v>
      </c>
    </row>
    <row r="52" spans="14:23" x14ac:dyDescent="0.25">
      <c r="N52" s="19" t="s">
        <v>39</v>
      </c>
      <c r="O52" s="19"/>
      <c r="P52" s="19"/>
      <c r="Q52" s="19">
        <f>((O50-1)*Q50+(O51-1)*Q51)/(O50+O51-2)</f>
        <v>3.9612121212121171E-3</v>
      </c>
      <c r="R52" s="19">
        <f>ABS(P50-P51-R48)/SQRT(Q52)</f>
        <v>6.8268068090191605</v>
      </c>
    </row>
    <row r="54" spans="14:23" ht="15.75" thickBot="1" x14ac:dyDescent="0.3">
      <c r="N54" t="s">
        <v>40</v>
      </c>
      <c r="R54" t="s">
        <v>41</v>
      </c>
      <c r="S54">
        <v>1.6951999999999998E-2</v>
      </c>
    </row>
    <row r="55" spans="14:23" ht="15.75" thickTop="1" x14ac:dyDescent="0.25">
      <c r="N55" s="18" t="s">
        <v>42</v>
      </c>
      <c r="O55" s="18" t="s">
        <v>43</v>
      </c>
      <c r="P55" s="18" t="s">
        <v>44</v>
      </c>
      <c r="Q55" s="18" t="s">
        <v>45</v>
      </c>
      <c r="R55" s="18" t="s">
        <v>46</v>
      </c>
      <c r="S55" s="18" t="s">
        <v>47</v>
      </c>
      <c r="T55" s="18" t="s">
        <v>48</v>
      </c>
      <c r="U55" s="18" t="s">
        <v>49</v>
      </c>
      <c r="V55" s="18" t="s">
        <v>50</v>
      </c>
      <c r="W55" s="18" t="s">
        <v>51</v>
      </c>
    </row>
    <row r="56" spans="14:23" x14ac:dyDescent="0.25">
      <c r="N56" t="s">
        <v>52</v>
      </c>
      <c r="O56">
        <f>SQRT(Q52*(1/O50+1/O51))</f>
        <v>2.5694396669352238E-2</v>
      </c>
      <c r="P56">
        <f>(ABS(P50-P51-R48))/O56</f>
        <v>16.722193254654794</v>
      </c>
      <c r="Q56">
        <f>O50+O51-2</f>
        <v>22</v>
      </c>
      <c r="R56">
        <f>TDIST(P56,Q56,1)</f>
        <v>2.7051992773002744E-14</v>
      </c>
      <c r="S56">
        <f>TINV(S54*2,Q56)</f>
        <v>2.2622068830146289</v>
      </c>
      <c r="V56" s="20" t="str">
        <f>IF(R56&lt;S54,"yes","no")</f>
        <v>yes</v>
      </c>
      <c r="W56">
        <f>SQRT(P56^2/(P56^2+Q56))</f>
        <v>0.96284130594146944</v>
      </c>
    </row>
    <row r="57" spans="14:23" x14ac:dyDescent="0.25">
      <c r="N57" t="s">
        <v>53</v>
      </c>
      <c r="O57">
        <f>O56</f>
        <v>2.5694396669352238E-2</v>
      </c>
      <c r="P57">
        <f t="shared" ref="P57:Q57" si="12">P56</f>
        <v>16.722193254654794</v>
      </c>
      <c r="Q57">
        <f t="shared" si="12"/>
        <v>22</v>
      </c>
      <c r="R57">
        <f>TDIST(P57,Q57,2)</f>
        <v>5.4103985546005487E-14</v>
      </c>
      <c r="S57">
        <f>TINV(S54,Q57)</f>
        <v>2.583535013457924</v>
      </c>
      <c r="T57">
        <f>(P50-P51)-S57*O57</f>
        <v>0.3632842932217184</v>
      </c>
      <c r="U57">
        <f>(P50-P51)+S57*O57</f>
        <v>0.49604904011161477</v>
      </c>
      <c r="V57" s="20" t="str">
        <f>IF(R57&lt;S54,"yes","no")</f>
        <v>yes</v>
      </c>
      <c r="W57">
        <f>W56</f>
        <v>0.96284130594146944</v>
      </c>
    </row>
    <row r="58" spans="14:23" x14ac:dyDescent="0.25"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4:23" ht="15.75" thickBot="1" x14ac:dyDescent="0.3">
      <c r="N59" t="s">
        <v>54</v>
      </c>
      <c r="R59" t="s">
        <v>41</v>
      </c>
      <c r="S59">
        <f>S54</f>
        <v>1.6951999999999998E-2</v>
      </c>
    </row>
    <row r="60" spans="14:23" ht="15.75" thickTop="1" x14ac:dyDescent="0.25">
      <c r="N60" s="18" t="s">
        <v>42</v>
      </c>
      <c r="O60" s="18" t="s">
        <v>43</v>
      </c>
      <c r="P60" s="18" t="s">
        <v>44</v>
      </c>
      <c r="Q60" s="18" t="s">
        <v>45</v>
      </c>
      <c r="R60" s="18" t="s">
        <v>46</v>
      </c>
      <c r="S60" s="18" t="s">
        <v>47</v>
      </c>
      <c r="T60" s="18" t="s">
        <v>48</v>
      </c>
      <c r="U60" s="18" t="s">
        <v>49</v>
      </c>
      <c r="V60" s="18" t="s">
        <v>50</v>
      </c>
      <c r="W60" s="18" t="s">
        <v>51</v>
      </c>
    </row>
    <row r="61" spans="14:23" x14ac:dyDescent="0.25">
      <c r="N61" t="s">
        <v>52</v>
      </c>
      <c r="O61">
        <f>SQRT(Q50/O50+Q51/O51)</f>
        <v>2.5694396669352242E-2</v>
      </c>
      <c r="P61">
        <f>(ABS(P50-P51-R48))/O61</f>
        <v>16.72219325465479</v>
      </c>
      <c r="Q61">
        <f>(Q50/O50+Q51/O51)^2/((Q50/O50)^2/(O50-1)+(Q51/O51)^2/(O51-1))</f>
        <v>21.858859114201692</v>
      </c>
      <c r="R61">
        <f>TDIST(P61,ROUND(Q61,0),1)</f>
        <v>2.7051992773002936E-14</v>
      </c>
      <c r="S61">
        <f>TINV(S59*2,ROUND(Q61,0))</f>
        <v>2.2622068830146289</v>
      </c>
      <c r="V61" s="20" t="str">
        <f>IF(R61&lt;S59,"yes","no")</f>
        <v>yes</v>
      </c>
      <c r="W61">
        <f>SQRT(P61^2/(P61^2+Q61))</f>
        <v>0.96306665354918519</v>
      </c>
    </row>
    <row r="62" spans="14:23" x14ac:dyDescent="0.25">
      <c r="N62" t="s">
        <v>53</v>
      </c>
      <c r="O62">
        <f>O61</f>
        <v>2.5694396669352242E-2</v>
      </c>
      <c r="P62">
        <f t="shared" ref="P62:Q62" si="13">P61</f>
        <v>16.72219325465479</v>
      </c>
      <c r="Q62">
        <f t="shared" si="13"/>
        <v>21.858859114201692</v>
      </c>
      <c r="R62" s="12">
        <f>TDIST(P62,ROUND(Q62,0),2)</f>
        <v>5.4103985546005872E-14</v>
      </c>
      <c r="S62">
        <f>TINV(S59,ROUND(Q62,0))</f>
        <v>2.583535013457924</v>
      </c>
      <c r="T62">
        <f>(P50-P51)-S62*O62</f>
        <v>0.3632842932217184</v>
      </c>
      <c r="U62">
        <f>(P50-P51)+S62*O62</f>
        <v>0.49604904011161477</v>
      </c>
      <c r="V62" s="37" t="str">
        <f>IF(R62&lt;S59,"yes","no")</f>
        <v>yes</v>
      </c>
      <c r="W62">
        <f>W61</f>
        <v>0.96306665354918519</v>
      </c>
    </row>
    <row r="63" spans="14:23" x14ac:dyDescent="0.25">
      <c r="N63" s="19"/>
      <c r="O63" s="19"/>
      <c r="P63" s="19"/>
      <c r="Q63" s="19"/>
      <c r="R63" s="19"/>
      <c r="S63" s="19"/>
      <c r="T63" s="19"/>
      <c r="U63" s="19"/>
      <c r="V63" s="19"/>
      <c r="W63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S3" sqref="S3"/>
    </sheetView>
  </sheetViews>
  <sheetFormatPr defaultRowHeight="15" x14ac:dyDescent="0.25"/>
  <cols>
    <col min="2" max="2" width="10.140625" bestFit="1" customWidth="1"/>
  </cols>
  <sheetData>
    <row r="1" spans="1:34" x14ac:dyDescent="0.25">
      <c r="A1" t="s">
        <v>72</v>
      </c>
    </row>
    <row r="2" spans="1:34" x14ac:dyDescent="0.25">
      <c r="B2" s="5">
        <v>42583</v>
      </c>
    </row>
    <row r="3" spans="1:34" x14ac:dyDescent="0.25">
      <c r="B3" s="3" t="s">
        <v>9</v>
      </c>
      <c r="C3" s="3" t="s">
        <v>10</v>
      </c>
      <c r="D3" s="3" t="s">
        <v>2</v>
      </c>
      <c r="N3" t="s">
        <v>46</v>
      </c>
      <c r="O3">
        <v>0.05</v>
      </c>
      <c r="P3" t="s">
        <v>78</v>
      </c>
      <c r="S3">
        <v>2.5321E-2</v>
      </c>
    </row>
    <row r="4" spans="1:34" x14ac:dyDescent="0.25">
      <c r="B4" s="2">
        <v>0.42859999999999998</v>
      </c>
      <c r="C4" s="2">
        <v>0.50460000000000005</v>
      </c>
      <c r="D4" s="2">
        <v>0.47899999999999998</v>
      </c>
    </row>
    <row r="5" spans="1:34" x14ac:dyDescent="0.25">
      <c r="B5" s="2">
        <v>0.47370000000000001</v>
      </c>
      <c r="C5" s="2">
        <v>0.53779999999999994</v>
      </c>
      <c r="D5" s="2">
        <v>0.48139999999999999</v>
      </c>
      <c r="N5" t="s">
        <v>31</v>
      </c>
      <c r="Y5" t="s">
        <v>31</v>
      </c>
    </row>
    <row r="6" spans="1:34" x14ac:dyDescent="0.25">
      <c r="B6" s="2">
        <v>0.50800000000000001</v>
      </c>
      <c r="C6" s="2">
        <v>0.52439999999999998</v>
      </c>
      <c r="D6" s="2">
        <v>0.48330000000000001</v>
      </c>
    </row>
    <row r="7" spans="1:34" ht="15.75" thickBot="1" x14ac:dyDescent="0.3">
      <c r="B7" s="2">
        <v>0.51619999999999999</v>
      </c>
      <c r="C7" s="2">
        <v>0.55000000000000004</v>
      </c>
      <c r="D7" s="2">
        <v>0.52549999999999997</v>
      </c>
      <c r="N7" t="s">
        <v>32</v>
      </c>
      <c r="Q7" t="s">
        <v>33</v>
      </c>
      <c r="R7">
        <v>0</v>
      </c>
      <c r="Y7" t="s">
        <v>32</v>
      </c>
      <c r="AB7" t="s">
        <v>33</v>
      </c>
      <c r="AC7">
        <v>0</v>
      </c>
    </row>
    <row r="8" spans="1:34" ht="15.75" thickTop="1" x14ac:dyDescent="0.25">
      <c r="B8" s="2">
        <v>0.45779999999999998</v>
      </c>
      <c r="C8" s="2">
        <v>0.4914</v>
      </c>
      <c r="D8" s="2">
        <v>0.48220000000000002</v>
      </c>
      <c r="N8" s="18" t="s">
        <v>34</v>
      </c>
      <c r="O8" s="18" t="s">
        <v>35</v>
      </c>
      <c r="P8" s="18" t="s">
        <v>36</v>
      </c>
      <c r="Q8" s="18" t="s">
        <v>37</v>
      </c>
      <c r="R8" s="18" t="s">
        <v>38</v>
      </c>
      <c r="Y8" s="18" t="s">
        <v>34</v>
      </c>
      <c r="Z8" s="18" t="s">
        <v>35</v>
      </c>
      <c r="AA8" s="18" t="s">
        <v>36</v>
      </c>
      <c r="AB8" s="18" t="s">
        <v>37</v>
      </c>
      <c r="AC8" s="18" t="s">
        <v>38</v>
      </c>
    </row>
    <row r="9" spans="1:34" x14ac:dyDescent="0.25">
      <c r="B9" s="2">
        <v>0.45710000000000001</v>
      </c>
      <c r="C9" s="2">
        <v>0.51590000000000003</v>
      </c>
      <c r="D9" s="2">
        <v>0.50939999999999996</v>
      </c>
      <c r="N9" s="12" t="str">
        <f>B3</f>
        <v>galactose 1 mg/mL</v>
      </c>
      <c r="O9">
        <f>COUNT(B4:B15)</f>
        <v>12</v>
      </c>
      <c r="P9" s="2">
        <f>AVERAGE(B4:B15)</f>
        <v>0.48069166666666668</v>
      </c>
      <c r="Q9">
        <f>VAR(B4:B15)</f>
        <v>7.4515174242424274E-4</v>
      </c>
      <c r="Y9" s="12" t="str">
        <f>C3</f>
        <v>glucose 1 mg/mL</v>
      </c>
      <c r="Z9">
        <f>COUNT(C4:C15)</f>
        <v>12</v>
      </c>
      <c r="AA9" s="2">
        <f>AVERAGE(C4:C15)</f>
        <v>0.51162500000000011</v>
      </c>
      <c r="AB9">
        <f>VAR(C4:C15)</f>
        <v>5.274565909090908E-4</v>
      </c>
    </row>
    <row r="10" spans="1:34" x14ac:dyDescent="0.25">
      <c r="B10" s="2">
        <v>0.4698</v>
      </c>
      <c r="C10" s="2">
        <v>0.47799999999999998</v>
      </c>
      <c r="D10" s="2">
        <v>0.42570000000000002</v>
      </c>
      <c r="N10" s="12" t="str">
        <f>D3</f>
        <v>ctrl</v>
      </c>
      <c r="O10">
        <f>COUNT(D4:D15)</f>
        <v>12</v>
      </c>
      <c r="P10" s="2">
        <f>AVERAGE(D4:D15)</f>
        <v>0.49528333333333335</v>
      </c>
      <c r="Q10">
        <f>VAR(D4:D15)</f>
        <v>7.8444515151515095E-4</v>
      </c>
      <c r="Y10" s="12" t="str">
        <f>D3</f>
        <v>ctrl</v>
      </c>
      <c r="Z10">
        <f>COUNT(D4:D15)</f>
        <v>12</v>
      </c>
      <c r="AA10" s="2">
        <f>AVERAGE(D4:D15)</f>
        <v>0.49528333333333335</v>
      </c>
      <c r="AB10">
        <f>VAR(D4:D15)</f>
        <v>7.8444515151515095E-4</v>
      </c>
    </row>
    <row r="11" spans="1:34" x14ac:dyDescent="0.25">
      <c r="B11" s="2">
        <v>0.51519999999999999</v>
      </c>
      <c r="C11" s="2">
        <v>0.51319999999999999</v>
      </c>
      <c r="D11" s="2">
        <v>0.49740000000000001</v>
      </c>
      <c r="N11" s="19" t="s">
        <v>39</v>
      </c>
      <c r="O11" s="19"/>
      <c r="P11" s="19"/>
      <c r="Q11" s="19">
        <f>((O9-1)*Q9+(O10-1)*Q10)/(O9+O10-2)</f>
        <v>7.6479844696969684E-4</v>
      </c>
      <c r="R11" s="19">
        <f>ABS(P9-P10-R7)/SQRT(Q11)</f>
        <v>0.52763233342306415</v>
      </c>
      <c r="Y11" s="19" t="s">
        <v>39</v>
      </c>
      <c r="Z11" s="19"/>
      <c r="AA11" s="19"/>
      <c r="AB11" s="19">
        <f>((Z9-1)*AB9+(Z10-1)*AB10)/(Z9+Z10-2)</f>
        <v>6.5595087121212087E-4</v>
      </c>
      <c r="AC11" s="19">
        <f>ABS(AA9-AA10-AC7)/SQRT(AB11)</f>
        <v>0.63805878273519734</v>
      </c>
    </row>
    <row r="12" spans="1:34" x14ac:dyDescent="0.25">
      <c r="B12" s="2">
        <v>0.4859</v>
      </c>
      <c r="C12" s="2">
        <v>0.5363</v>
      </c>
      <c r="D12" s="2">
        <v>0.52849999999999997</v>
      </c>
    </row>
    <row r="13" spans="1:34" ht="15.75" thickBot="1" x14ac:dyDescent="0.3">
      <c r="B13" s="2">
        <v>0.50580000000000003</v>
      </c>
      <c r="C13" s="2">
        <v>0.50980000000000003</v>
      </c>
      <c r="D13" s="2">
        <v>0.5151</v>
      </c>
      <c r="N13" t="s">
        <v>40</v>
      </c>
      <c r="R13" t="s">
        <v>41</v>
      </c>
      <c r="S13">
        <v>2.5321E-2</v>
      </c>
      <c r="Y13" t="s">
        <v>40</v>
      </c>
      <c r="AC13" t="s">
        <v>41</v>
      </c>
      <c r="AD13">
        <v>2.5321E-2</v>
      </c>
    </row>
    <row r="14" spans="1:34" ht="15.75" thickTop="1" x14ac:dyDescent="0.25">
      <c r="B14" s="2">
        <v>0.48770000000000002</v>
      </c>
      <c r="C14" s="2">
        <v>0.5</v>
      </c>
      <c r="D14" s="2">
        <v>0.50160000000000005</v>
      </c>
      <c r="N14" s="18" t="s">
        <v>42</v>
      </c>
      <c r="O14" s="18" t="s">
        <v>43</v>
      </c>
      <c r="P14" s="18" t="s">
        <v>44</v>
      </c>
      <c r="Q14" s="18" t="s">
        <v>45</v>
      </c>
      <c r="R14" s="18" t="s">
        <v>46</v>
      </c>
      <c r="S14" s="18" t="s">
        <v>47</v>
      </c>
      <c r="T14" s="18" t="s">
        <v>48</v>
      </c>
      <c r="U14" s="18" t="s">
        <v>49</v>
      </c>
      <c r="V14" s="18" t="s">
        <v>50</v>
      </c>
      <c r="W14" s="18" t="s">
        <v>51</v>
      </c>
      <c r="Y14" s="18" t="s">
        <v>42</v>
      </c>
      <c r="Z14" s="18" t="s">
        <v>43</v>
      </c>
      <c r="AA14" s="18" t="s">
        <v>44</v>
      </c>
      <c r="AB14" s="18" t="s">
        <v>45</v>
      </c>
      <c r="AC14" s="18" t="s">
        <v>46</v>
      </c>
      <c r="AD14" s="18" t="s">
        <v>47</v>
      </c>
      <c r="AE14" s="18" t="s">
        <v>48</v>
      </c>
      <c r="AF14" s="18" t="s">
        <v>49</v>
      </c>
      <c r="AG14" s="18" t="s">
        <v>50</v>
      </c>
      <c r="AH14" s="18" t="s">
        <v>51</v>
      </c>
    </row>
    <row r="15" spans="1:34" x14ac:dyDescent="0.25">
      <c r="B15" s="2">
        <v>0.46250000000000002</v>
      </c>
      <c r="C15" s="2">
        <v>0.47810000000000002</v>
      </c>
      <c r="D15" s="2">
        <v>0.51429999999999998</v>
      </c>
      <c r="N15" t="s">
        <v>52</v>
      </c>
      <c r="O15">
        <f>SQRT(Q11*(1/O9+1/O10))</f>
        <v>1.1290102206281518E-2</v>
      </c>
      <c r="P15">
        <f>(ABS(P9-P10-R7))/O15</f>
        <v>1.2924299886805495</v>
      </c>
      <c r="Q15">
        <f>O9+O10-2</f>
        <v>22</v>
      </c>
      <c r="R15">
        <f>TDIST(P15,Q15,1)</f>
        <v>0.10480940263774027</v>
      </c>
      <c r="S15">
        <f>TINV(S13*2,Q15)</f>
        <v>2.0675656097260955</v>
      </c>
      <c r="V15" s="20" t="str">
        <f>IF(R15&lt;S13,"yes","no")</f>
        <v>no</v>
      </c>
      <c r="W15">
        <f>SQRT(P15^2/(P15^2+Q15))</f>
        <v>0.26564671810344787</v>
      </c>
      <c r="Y15" t="s">
        <v>52</v>
      </c>
      <c r="Z15">
        <f>SQRT(AB11*(1/Z9+1/Z10))</f>
        <v>1.0455866544769024E-2</v>
      </c>
      <c r="AA15">
        <f>(ABS(AA9-AA10-AC7))/Z15</f>
        <v>1.5629184436025862</v>
      </c>
      <c r="AB15">
        <f>Z9+Z10-2</f>
        <v>22</v>
      </c>
      <c r="AC15">
        <f>TDIST(AA15,AB15,1)</f>
        <v>6.6171571549508368E-2</v>
      </c>
      <c r="AD15">
        <f>TINV(AD13*2,AB15)</f>
        <v>2.0675656097260955</v>
      </c>
      <c r="AG15" s="20" t="str">
        <f>IF(AC15&lt;AD13,"yes","no")</f>
        <v>no</v>
      </c>
      <c r="AH15">
        <f>SQRT(AA15^2/(AA15^2+AB15))</f>
        <v>0.31612700917591952</v>
      </c>
    </row>
    <row r="16" spans="1:34" x14ac:dyDescent="0.25">
      <c r="A16" s="12" t="s">
        <v>23</v>
      </c>
      <c r="B16" s="4">
        <f>AVERAGE(B4:B15)</f>
        <v>0.48069166666666668</v>
      </c>
      <c r="C16" s="4">
        <f t="shared" ref="C16:D16" si="0">AVERAGE(C4:C15)</f>
        <v>0.51162500000000011</v>
      </c>
      <c r="D16" s="4">
        <f t="shared" si="0"/>
        <v>0.49528333333333335</v>
      </c>
      <c r="N16" t="s">
        <v>53</v>
      </c>
      <c r="O16">
        <f>O15</f>
        <v>1.1290102206281518E-2</v>
      </c>
      <c r="P16">
        <f t="shared" ref="P16:Q16" si="1">P15</f>
        <v>1.2924299886805495</v>
      </c>
      <c r="Q16">
        <f t="shared" si="1"/>
        <v>22</v>
      </c>
      <c r="R16">
        <f>TDIST(P16,Q16,2)</f>
        <v>0.20961880527548055</v>
      </c>
      <c r="S16">
        <f>TINV(S13,Q16)</f>
        <v>2.3995417848043665</v>
      </c>
      <c r="T16">
        <f>(P9-P10)-S16*O16</f>
        <v>-4.1682738665351139E-2</v>
      </c>
      <c r="U16">
        <f>(P9-P10)+S16*O16</f>
        <v>1.24994053320178E-2</v>
      </c>
      <c r="V16" s="20" t="str">
        <f>IF(R16&lt;S13,"yes","no")</f>
        <v>no</v>
      </c>
      <c r="W16">
        <f>W15</f>
        <v>0.26564671810344787</v>
      </c>
      <c r="Y16" t="s">
        <v>53</v>
      </c>
      <c r="Z16">
        <f>Z15</f>
        <v>1.0455866544769024E-2</v>
      </c>
      <c r="AA16">
        <f t="shared" ref="AA16:AB16" si="2">AA15</f>
        <v>1.5629184436025862</v>
      </c>
      <c r="AB16">
        <f t="shared" si="2"/>
        <v>22</v>
      </c>
      <c r="AC16">
        <f>TDIST(AA16,AB16,2)</f>
        <v>0.13234314309901674</v>
      </c>
      <c r="AD16">
        <f>TINV(AD13,AB16)</f>
        <v>2.3995417848043665</v>
      </c>
      <c r="AE16">
        <f>(AA9-AA10)-AD16*Z16</f>
        <v>-8.747622003844574E-3</v>
      </c>
      <c r="AF16">
        <f>(AA9-AA10)+AD16*Z16</f>
        <v>4.1430955337178083E-2</v>
      </c>
      <c r="AG16" s="20" t="str">
        <f>IF(AC16&lt;AD13,"yes","no")</f>
        <v>no</v>
      </c>
      <c r="AH16">
        <f>AH15</f>
        <v>0.31612700917591952</v>
      </c>
    </row>
    <row r="17" spans="1:34" x14ac:dyDescent="0.25">
      <c r="A17" s="16" t="s">
        <v>24</v>
      </c>
      <c r="B17" s="17">
        <f>_xlfn.STDEV.S(B4:B15)</f>
        <v>2.7297467692521275E-2</v>
      </c>
      <c r="C17" s="17">
        <f t="shared" ref="C17:D17" si="3">_xlfn.STDEV.S(C4:C15)</f>
        <v>2.296642311961292E-2</v>
      </c>
      <c r="D17" s="17">
        <f t="shared" si="3"/>
        <v>2.8007948006149093E-2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15.75" thickBot="1" x14ac:dyDescent="0.3">
      <c r="N18" t="s">
        <v>54</v>
      </c>
      <c r="R18" t="s">
        <v>41</v>
      </c>
      <c r="S18">
        <f>S13</f>
        <v>2.5321E-2</v>
      </c>
      <c r="Y18" t="s">
        <v>54</v>
      </c>
      <c r="AC18" t="s">
        <v>41</v>
      </c>
      <c r="AD18">
        <f>AD13</f>
        <v>2.5321E-2</v>
      </c>
    </row>
    <row r="19" spans="1:34" ht="15.75" thickTop="1" x14ac:dyDescent="0.25">
      <c r="B19" s="5">
        <v>42671</v>
      </c>
      <c r="N19" s="18" t="s">
        <v>42</v>
      </c>
      <c r="O19" s="18" t="s">
        <v>43</v>
      </c>
      <c r="P19" s="18" t="s">
        <v>44</v>
      </c>
      <c r="Q19" s="18" t="s">
        <v>45</v>
      </c>
      <c r="R19" s="18" t="s">
        <v>46</v>
      </c>
      <c r="S19" s="18" t="s">
        <v>47</v>
      </c>
      <c r="T19" s="18" t="s">
        <v>48</v>
      </c>
      <c r="U19" s="18" t="s">
        <v>49</v>
      </c>
      <c r="V19" s="18" t="s">
        <v>50</v>
      </c>
      <c r="W19" s="18" t="s">
        <v>51</v>
      </c>
      <c r="Y19" s="18" t="s">
        <v>42</v>
      </c>
      <c r="Z19" s="18" t="s">
        <v>43</v>
      </c>
      <c r="AA19" s="18" t="s">
        <v>44</v>
      </c>
      <c r="AB19" s="18" t="s">
        <v>45</v>
      </c>
      <c r="AC19" s="18" t="s">
        <v>46</v>
      </c>
      <c r="AD19" s="18" t="s">
        <v>47</v>
      </c>
      <c r="AE19" s="18" t="s">
        <v>48</v>
      </c>
      <c r="AF19" s="18" t="s">
        <v>49</v>
      </c>
      <c r="AG19" s="18" t="s">
        <v>50</v>
      </c>
      <c r="AH19" s="18" t="s">
        <v>51</v>
      </c>
    </row>
    <row r="20" spans="1:34" x14ac:dyDescent="0.25">
      <c r="B20" s="3" t="s">
        <v>9</v>
      </c>
      <c r="C20" s="3" t="s">
        <v>10</v>
      </c>
      <c r="D20" s="3" t="s">
        <v>73</v>
      </c>
      <c r="E20" s="3" t="s">
        <v>11</v>
      </c>
      <c r="N20" t="s">
        <v>52</v>
      </c>
      <c r="O20">
        <f>SQRT(Q9/O9+Q10/O10)</f>
        <v>1.1290102206281518E-2</v>
      </c>
      <c r="P20">
        <f>(ABS(P9-P10-R7))/O20</f>
        <v>1.2924299886805495</v>
      </c>
      <c r="Q20">
        <f>(Q9/O9+Q10/O10)^2/((Q9/O9)^2/(O9-1)+(Q10/O10)^2/(O10-1))</f>
        <v>21.985491530099345</v>
      </c>
      <c r="R20">
        <f>TDIST(P20,ROUND(Q20,0),1)</f>
        <v>0.10480940263774027</v>
      </c>
      <c r="S20">
        <f>TINV(S18*2,ROUND(Q20,0))</f>
        <v>2.0675656097260955</v>
      </c>
      <c r="V20" s="20" t="str">
        <f>IF(R20&lt;S18,"yes","no")</f>
        <v>no</v>
      </c>
      <c r="W20">
        <f>SQRT(P20^2/(P20^2+Q20))</f>
        <v>0.2657281680177378</v>
      </c>
      <c r="Y20" t="s">
        <v>52</v>
      </c>
      <c r="Z20">
        <f>SQRT(AB9/Z9+AB10/Z10)</f>
        <v>1.0455866544769024E-2</v>
      </c>
      <c r="AA20">
        <f>(ABS(AA9-AA10-AC7))/Z20</f>
        <v>1.5629184436025862</v>
      </c>
      <c r="AB20">
        <f>(AB9/Z9+AB10/Z10)^2/((AB9/Z9)^2/(Z9-1)+(AB10/Z10)^2/(Z10-1))</f>
        <v>21.186992992315123</v>
      </c>
      <c r="AC20">
        <f>TDIST(AA20,ROUND(AB20,0),1)</f>
        <v>6.6508391006989034E-2</v>
      </c>
      <c r="AD20">
        <f>TINV(AD18*2,ROUND(AB20,0))</f>
        <v>2.0732625285448862</v>
      </c>
      <c r="AG20" s="20" t="str">
        <f>IF(AC20&lt;AD18,"yes","no")</f>
        <v>no</v>
      </c>
      <c r="AH20">
        <f>SQRT(AA20^2/(AA20^2+AB20))</f>
        <v>0.32151937386346452</v>
      </c>
    </row>
    <row r="21" spans="1:34" x14ac:dyDescent="0.25">
      <c r="B21" s="2">
        <v>0.6371</v>
      </c>
      <c r="C21" s="2">
        <v>0.6482</v>
      </c>
      <c r="D21" s="2">
        <v>0.1946</v>
      </c>
      <c r="E21" s="2">
        <v>0.62290000000000001</v>
      </c>
      <c r="N21" t="s">
        <v>53</v>
      </c>
      <c r="O21">
        <f>O20</f>
        <v>1.1290102206281518E-2</v>
      </c>
      <c r="P21">
        <f t="shared" ref="P21:Q21" si="4">P20</f>
        <v>1.2924299886805495</v>
      </c>
      <c r="Q21">
        <f t="shared" si="4"/>
        <v>21.985491530099345</v>
      </c>
      <c r="R21" s="12">
        <f>TDIST(P21,ROUND(Q21,0),2)</f>
        <v>0.20961880527548055</v>
      </c>
      <c r="S21">
        <f>TINV(S18,ROUND(Q21,0))</f>
        <v>2.3995417848043665</v>
      </c>
      <c r="T21">
        <f>(P9-P10)-S21*O21</f>
        <v>-4.1682738665351139E-2</v>
      </c>
      <c r="U21">
        <f>(P9-P10)+S21*O21</f>
        <v>1.24994053320178E-2</v>
      </c>
      <c r="V21" s="37" t="str">
        <f>IF(R21&lt;S18,"yes","no")</f>
        <v>no</v>
      </c>
      <c r="W21">
        <f>W20</f>
        <v>0.2657281680177378</v>
      </c>
      <c r="Y21" t="s">
        <v>53</v>
      </c>
      <c r="Z21">
        <f>Z20</f>
        <v>1.0455866544769024E-2</v>
      </c>
      <c r="AA21">
        <f t="shared" ref="AA21:AB21" si="5">AA20</f>
        <v>1.5629184436025862</v>
      </c>
      <c r="AB21">
        <f t="shared" si="5"/>
        <v>21.186992992315123</v>
      </c>
      <c r="AC21" s="12">
        <f>TDIST(AA21,ROUND(AB21,0),2)</f>
        <v>0.13301678201397807</v>
      </c>
      <c r="AD21">
        <f>TINV(AD18,ROUND(AB21,0))</f>
        <v>2.4078612046351484</v>
      </c>
      <c r="AE21">
        <f>(AA9-AA10)-AD21*Z21</f>
        <v>-8.8346087473251365E-3</v>
      </c>
      <c r="AF21">
        <f>(AA9-AA10)+AD21*Z21</f>
        <v>4.1517942080658649E-2</v>
      </c>
      <c r="AG21" s="37" t="str">
        <f>IF(AC21&lt;AD18,"yes","no")</f>
        <v>no</v>
      </c>
      <c r="AH21">
        <f>AH20</f>
        <v>0.32151937386346452</v>
      </c>
    </row>
    <row r="22" spans="1:34" x14ac:dyDescent="0.25">
      <c r="B22" s="2">
        <v>0.64270000000000005</v>
      </c>
      <c r="C22" s="2">
        <v>0.67130000000000001</v>
      </c>
      <c r="D22" s="2">
        <v>0.2137</v>
      </c>
      <c r="E22" s="2">
        <v>0.6331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x14ac:dyDescent="0.25">
      <c r="B23" s="2">
        <v>0.67689999999999995</v>
      </c>
      <c r="C23" s="2">
        <v>0.67010000000000003</v>
      </c>
      <c r="D23" s="2">
        <v>0.187</v>
      </c>
      <c r="E23" s="2">
        <v>0.7117</v>
      </c>
    </row>
    <row r="24" spans="1:34" x14ac:dyDescent="0.25">
      <c r="B24" s="2">
        <v>0.65369999999999995</v>
      </c>
      <c r="C24" s="2">
        <v>0.65649999999999997</v>
      </c>
      <c r="D24" s="2">
        <v>0.2077</v>
      </c>
      <c r="E24" s="2">
        <v>0.64890000000000003</v>
      </c>
    </row>
    <row r="25" spans="1:34" x14ac:dyDescent="0.25">
      <c r="B25" s="2">
        <v>0.7107</v>
      </c>
      <c r="C25" s="2">
        <v>0.64639999999999997</v>
      </c>
      <c r="D25" s="2">
        <v>0.22509999999999999</v>
      </c>
      <c r="E25" s="2">
        <v>0.67749999999999999</v>
      </c>
    </row>
    <row r="26" spans="1:34" x14ac:dyDescent="0.25">
      <c r="B26" s="2">
        <v>0.65849999999999997</v>
      </c>
      <c r="C26" s="2">
        <v>0.66110000000000002</v>
      </c>
      <c r="D26" s="2">
        <v>0.1988</v>
      </c>
      <c r="E26" s="2">
        <v>0.63319999999999999</v>
      </c>
    </row>
    <row r="27" spans="1:34" x14ac:dyDescent="0.25">
      <c r="A27" s="12" t="s">
        <v>23</v>
      </c>
      <c r="B27" s="4">
        <f>AVERAGE(B21:B26)</f>
        <v>0.66326666666666678</v>
      </c>
      <c r="C27" s="4">
        <f t="shared" ref="C27:E27" si="6">AVERAGE(C21:C26)</f>
        <v>0.65893333333333326</v>
      </c>
      <c r="D27" s="4">
        <f t="shared" si="6"/>
        <v>0.20448333333333335</v>
      </c>
      <c r="E27" s="4">
        <f t="shared" si="6"/>
        <v>0.65455000000000008</v>
      </c>
    </row>
    <row r="28" spans="1:34" x14ac:dyDescent="0.25">
      <c r="A28" s="16" t="s">
        <v>24</v>
      </c>
      <c r="B28" s="17">
        <f>_xlfn.STDEV.S(B21:B26)</f>
        <v>2.7047045433219986E-2</v>
      </c>
      <c r="C28" s="17">
        <f t="shared" ref="C28:E28" si="7">_xlfn.STDEV.S(C21:C26)</f>
        <v>1.0588043571248987E-2</v>
      </c>
      <c r="D28" s="17">
        <f t="shared" si="7"/>
        <v>1.3827424440822906E-2</v>
      </c>
      <c r="E28" s="17">
        <f t="shared" si="7"/>
        <v>3.388921657400773E-2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topLeftCell="C7" workbookViewId="0">
      <selection activeCell="T25" sqref="T25"/>
    </sheetView>
  </sheetViews>
  <sheetFormatPr defaultRowHeight="15" x14ac:dyDescent="0.25"/>
  <cols>
    <col min="1" max="1" width="10.140625" bestFit="1" customWidth="1"/>
    <col min="2" max="2" width="9.85546875" customWidth="1"/>
  </cols>
  <sheetData>
    <row r="1" spans="1:3" x14ac:dyDescent="0.25">
      <c r="A1" t="s">
        <v>74</v>
      </c>
    </row>
    <row r="4" spans="1:3" x14ac:dyDescent="0.25">
      <c r="B4" s="5">
        <v>42797</v>
      </c>
    </row>
    <row r="5" spans="1:3" x14ac:dyDescent="0.25">
      <c r="B5" s="7" t="s">
        <v>15</v>
      </c>
    </row>
    <row r="6" spans="1:3" x14ac:dyDescent="0.25">
      <c r="B6" s="9" t="s">
        <v>3</v>
      </c>
      <c r="C6" s="9" t="s">
        <v>13</v>
      </c>
    </row>
    <row r="7" spans="1:3" x14ac:dyDescent="0.25">
      <c r="B7" s="10">
        <v>7.6227563339070752</v>
      </c>
      <c r="C7" s="10">
        <v>6.6986222905051944</v>
      </c>
    </row>
    <row r="8" spans="1:3" x14ac:dyDescent="0.25">
      <c r="B8" s="10">
        <v>7.530726239543597</v>
      </c>
      <c r="C8" s="10">
        <v>6.5051499783199063</v>
      </c>
    </row>
    <row r="9" spans="1:3" x14ac:dyDescent="0.25">
      <c r="B9" s="10">
        <v>7.5017302660547545</v>
      </c>
      <c r="C9" s="10">
        <v>6.8652296300228857</v>
      </c>
    </row>
    <row r="10" spans="1:3" x14ac:dyDescent="0.25">
      <c r="A10" s="12" t="s">
        <v>23</v>
      </c>
      <c r="B10" s="13">
        <f>AVERAGE(B7:B9)</f>
        <v>7.5517376131684761</v>
      </c>
      <c r="C10" s="13">
        <f>AVERAGE(C7:C9)</f>
        <v>6.6896672996159952</v>
      </c>
    </row>
    <row r="11" spans="1:3" x14ac:dyDescent="0.25">
      <c r="A11" s="16" t="s">
        <v>24</v>
      </c>
      <c r="B11" s="34">
        <f>_xlfn.STDEV.S(B7:B9)</f>
        <v>6.3189679862710305E-2</v>
      </c>
      <c r="C11" s="34">
        <f>_xlfn.STDEV.S(C7:C9)</f>
        <v>0.18020677786643866</v>
      </c>
    </row>
    <row r="14" spans="1:3" x14ac:dyDescent="0.25">
      <c r="B14" s="5">
        <v>42804</v>
      </c>
    </row>
    <row r="15" spans="1:3" x14ac:dyDescent="0.25">
      <c r="B15" s="7" t="s">
        <v>15</v>
      </c>
    </row>
    <row r="16" spans="1:3" x14ac:dyDescent="0.25">
      <c r="B16" s="9" t="s">
        <v>3</v>
      </c>
      <c r="C16" s="9" t="s">
        <v>13</v>
      </c>
    </row>
    <row r="17" spans="1:30" x14ac:dyDescent="0.25">
      <c r="B17" s="10">
        <v>7.7172844520171013</v>
      </c>
      <c r="C17" s="10">
        <v>6.8559879271758781</v>
      </c>
    </row>
    <row r="18" spans="1:30" x14ac:dyDescent="0.25">
      <c r="B18" s="10">
        <v>7.3740940135031012</v>
      </c>
      <c r="C18" s="10">
        <v>6.8908058912465755</v>
      </c>
    </row>
    <row r="19" spans="1:30" x14ac:dyDescent="0.25">
      <c r="B19" s="10">
        <v>7.6590316674813819</v>
      </c>
      <c r="C19" s="10">
        <v>6.8362336565340414</v>
      </c>
    </row>
    <row r="20" spans="1:30" x14ac:dyDescent="0.25">
      <c r="A20" s="12" t="s">
        <v>23</v>
      </c>
      <c r="B20" s="13">
        <f>AVERAGE(B17:B19)</f>
        <v>7.5834700443338612</v>
      </c>
      <c r="C20" s="13">
        <f>AVERAGE(C17:C19)</f>
        <v>6.861009158318832</v>
      </c>
    </row>
    <row r="21" spans="1:30" x14ac:dyDescent="0.25">
      <c r="A21" s="16" t="s">
        <v>24</v>
      </c>
      <c r="B21" s="34">
        <f>_xlfn.STDEV.S(B17:B19)</f>
        <v>0.18364936275787574</v>
      </c>
      <c r="C21" s="34">
        <f>_xlfn.STDEV.S(C17:C19)</f>
        <v>2.7630450087235348E-2</v>
      </c>
    </row>
    <row r="25" spans="1:30" x14ac:dyDescent="0.25">
      <c r="A25" s="57" t="s">
        <v>75</v>
      </c>
      <c r="B25" s="5">
        <v>43133</v>
      </c>
      <c r="O25" t="s">
        <v>46</v>
      </c>
      <c r="P25">
        <v>0.05</v>
      </c>
      <c r="Q25" t="s">
        <v>78</v>
      </c>
      <c r="T25">
        <v>1.0206E-2</v>
      </c>
    </row>
    <row r="26" spans="1:30" x14ac:dyDescent="0.25">
      <c r="B26" s="7" t="s">
        <v>15</v>
      </c>
    </row>
    <row r="27" spans="1:30" x14ac:dyDescent="0.25">
      <c r="B27" s="9" t="s">
        <v>3</v>
      </c>
      <c r="C27" s="9" t="s">
        <v>13</v>
      </c>
      <c r="D27" s="9" t="s">
        <v>14</v>
      </c>
      <c r="E27" s="9" t="s">
        <v>4</v>
      </c>
      <c r="O27" t="s">
        <v>31</v>
      </c>
      <c r="Z27" t="s">
        <v>31</v>
      </c>
    </row>
    <row r="28" spans="1:30" x14ac:dyDescent="0.25">
      <c r="B28" s="8">
        <v>7.6522452638867442</v>
      </c>
      <c r="C28" s="8">
        <v>6.8406206186877938</v>
      </c>
      <c r="D28" s="8">
        <v>7.204119982655925</v>
      </c>
      <c r="E28" s="8">
        <v>7.8027602617187348</v>
      </c>
    </row>
    <row r="29" spans="1:30" ht="15.75" thickBot="1" x14ac:dyDescent="0.3">
      <c r="B29" s="8">
        <v>7.3177418734074564</v>
      </c>
      <c r="C29" s="8">
        <v>6.968256871239447</v>
      </c>
      <c r="D29" s="8">
        <v>7.2296962438796157</v>
      </c>
      <c r="E29" s="8">
        <v>7.7984084679577954</v>
      </c>
      <c r="O29" t="s">
        <v>32</v>
      </c>
      <c r="R29" t="s">
        <v>33</v>
      </c>
      <c r="S29">
        <v>0</v>
      </c>
      <c r="Z29" t="s">
        <v>32</v>
      </c>
      <c r="AC29" t="s">
        <v>33</v>
      </c>
      <c r="AD29">
        <v>0</v>
      </c>
    </row>
    <row r="30" spans="1:30" ht="15.75" thickTop="1" x14ac:dyDescent="0.25">
      <c r="B30" s="8">
        <v>7.5998775886267378</v>
      </c>
      <c r="C30" s="8">
        <v>6.8256390069990722</v>
      </c>
      <c r="D30" s="8">
        <v>7.3802112417116064</v>
      </c>
      <c r="E30" s="8">
        <v>7.6901056208558032</v>
      </c>
      <c r="O30" s="18" t="s">
        <v>34</v>
      </c>
      <c r="P30" s="18" t="s">
        <v>35</v>
      </c>
      <c r="Q30" s="18" t="s">
        <v>36</v>
      </c>
      <c r="R30" s="18" t="s">
        <v>37</v>
      </c>
      <c r="S30" s="18" t="s">
        <v>38</v>
      </c>
      <c r="Z30" s="18" t="s">
        <v>34</v>
      </c>
      <c r="AA30" s="18" t="s">
        <v>35</v>
      </c>
      <c r="AB30" s="18" t="s">
        <v>36</v>
      </c>
      <c r="AC30" s="18" t="s">
        <v>37</v>
      </c>
      <c r="AD30" s="18" t="s">
        <v>38</v>
      </c>
    </row>
    <row r="31" spans="1:30" x14ac:dyDescent="0.25">
      <c r="B31" s="8">
        <v>7.4136846365269129</v>
      </c>
      <c r="C31" s="8">
        <v>6.7631696386949223</v>
      </c>
      <c r="D31" s="8">
        <v>7.0536049848239344</v>
      </c>
      <c r="E31" s="8">
        <v>7.7984084679577954</v>
      </c>
      <c r="O31" s="12" t="str">
        <f>B27</f>
        <v>24h</v>
      </c>
      <c r="P31">
        <f>COUNT(B28:B32)</f>
        <v>5</v>
      </c>
      <c r="Q31" s="10">
        <f>AVERAGE(B28:B32)</f>
        <v>7.5153489940591189</v>
      </c>
      <c r="R31">
        <f>VAR(B28:B32)</f>
        <v>2.0332495748831902E-2</v>
      </c>
      <c r="Z31" s="12" t="str">
        <f>B27</f>
        <v>24h</v>
      </c>
      <c r="AA31">
        <f>COUNT(B28:B32)</f>
        <v>5</v>
      </c>
      <c r="AB31" s="10">
        <f>AVERAGE(B28:B32)</f>
        <v>7.5153489940591189</v>
      </c>
      <c r="AC31">
        <f>VAR(B28:B32)</f>
        <v>2.0332495748831902E-2</v>
      </c>
    </row>
    <row r="32" spans="1:30" x14ac:dyDescent="0.25">
      <c r="B32" s="8">
        <v>7.5931956078477469</v>
      </c>
      <c r="C32" s="8">
        <v>6.9329663340965926</v>
      </c>
      <c r="D32" s="8">
        <v>7.1020599913279625</v>
      </c>
      <c r="E32" s="8">
        <v>7.8317562352075782</v>
      </c>
      <c r="O32" s="12" t="str">
        <f>C27</f>
        <v>inhib</v>
      </c>
      <c r="P32">
        <f>COUNT(C28:C32)</f>
        <v>5</v>
      </c>
      <c r="Q32" s="10">
        <f>AVERAGE(C28:C32)</f>
        <v>6.8661304939435652</v>
      </c>
      <c r="R32">
        <f>VAR(C28:C32)</f>
        <v>6.9470196081537249E-3</v>
      </c>
      <c r="Z32" s="12" t="str">
        <f>D27</f>
        <v>dispers</v>
      </c>
      <c r="AA32">
        <f>COUNT(D28:D32)</f>
        <v>5</v>
      </c>
      <c r="AB32" s="10">
        <f>AVERAGE(D28:D32)</f>
        <v>7.1939384888798088</v>
      </c>
      <c r="AC32">
        <f>VAR(D28:D32)</f>
        <v>1.6053742244664999E-2</v>
      </c>
    </row>
    <row r="33" spans="1:35" x14ac:dyDescent="0.25">
      <c r="A33" s="12" t="s">
        <v>23</v>
      </c>
      <c r="B33" s="13">
        <f>AVERAGE(B28:B32)</f>
        <v>7.5153489940591189</v>
      </c>
      <c r="C33" s="13">
        <f t="shared" ref="C33:E33" si="0">AVERAGE(C28:C32)</f>
        <v>6.8661304939435652</v>
      </c>
      <c r="D33" s="13">
        <f t="shared" si="0"/>
        <v>7.1939384888798088</v>
      </c>
      <c r="E33" s="13">
        <f t="shared" si="0"/>
        <v>7.7842878107395421</v>
      </c>
      <c r="O33" s="19" t="s">
        <v>39</v>
      </c>
      <c r="P33" s="19"/>
      <c r="Q33" s="19"/>
      <c r="R33" s="19">
        <f>((P31-1)*R31+(P32-1)*R32)/(P31+P32-2)</f>
        <v>1.3639757678492813E-2</v>
      </c>
      <c r="S33" s="19">
        <f>ABS(Q31-Q32-S29)/SQRT(R33)</f>
        <v>5.5588833355232934</v>
      </c>
      <c r="Z33" s="19" t="s">
        <v>39</v>
      </c>
      <c r="AA33" s="19"/>
      <c r="AB33" s="19"/>
      <c r="AC33" s="19">
        <f>((AA31-1)*AC31+(AA32-1)*AC32)/(AA31+AA32-2)</f>
        <v>1.8193118996748449E-2</v>
      </c>
      <c r="AD33" s="19">
        <f>ABS(AB31-AB32-AD29)/SQRT(AC33)</f>
        <v>2.3829036765617673</v>
      </c>
    </row>
    <row r="34" spans="1:35" x14ac:dyDescent="0.25">
      <c r="A34" s="16" t="s">
        <v>24</v>
      </c>
      <c r="B34" s="34">
        <f>_xlfn.STDEV.S(B28:B32)</f>
        <v>0.14259206060938984</v>
      </c>
      <c r="C34" s="34">
        <f t="shared" ref="C34:E34" si="1">_xlfn.STDEV.S(C28:C32)</f>
        <v>8.3348782883457428E-2</v>
      </c>
      <c r="D34" s="34">
        <f t="shared" si="1"/>
        <v>0.1267033631939776</v>
      </c>
      <c r="E34" s="34">
        <f t="shared" si="1"/>
        <v>5.4459970571291635E-2</v>
      </c>
    </row>
    <row r="35" spans="1:35" ht="15.75" thickBot="1" x14ac:dyDescent="0.3">
      <c r="O35" t="s">
        <v>40</v>
      </c>
      <c r="S35" t="s">
        <v>41</v>
      </c>
      <c r="T35">
        <v>1.0206E-2</v>
      </c>
      <c r="Z35" t="s">
        <v>40</v>
      </c>
      <c r="AD35" t="s">
        <v>41</v>
      </c>
      <c r="AE35">
        <v>1.0206E-2</v>
      </c>
    </row>
    <row r="36" spans="1:35" ht="15.75" thickTop="1" x14ac:dyDescent="0.25">
      <c r="O36" s="18" t="s">
        <v>42</v>
      </c>
      <c r="P36" s="18" t="s">
        <v>43</v>
      </c>
      <c r="Q36" s="18" t="s">
        <v>44</v>
      </c>
      <c r="R36" s="18" t="s">
        <v>45</v>
      </c>
      <c r="S36" s="18" t="s">
        <v>46</v>
      </c>
      <c r="T36" s="18" t="s">
        <v>47</v>
      </c>
      <c r="U36" s="18" t="s">
        <v>48</v>
      </c>
      <c r="V36" s="18" t="s">
        <v>49</v>
      </c>
      <c r="W36" s="18" t="s">
        <v>50</v>
      </c>
      <c r="X36" s="18" t="s">
        <v>51</v>
      </c>
      <c r="Z36" s="18" t="s">
        <v>42</v>
      </c>
      <c r="AA36" s="18" t="s">
        <v>43</v>
      </c>
      <c r="AB36" s="18" t="s">
        <v>44</v>
      </c>
      <c r="AC36" s="18" t="s">
        <v>45</v>
      </c>
      <c r="AD36" s="18" t="s">
        <v>46</v>
      </c>
      <c r="AE36" s="18" t="s">
        <v>47</v>
      </c>
      <c r="AF36" s="18" t="s">
        <v>48</v>
      </c>
      <c r="AG36" s="18" t="s">
        <v>49</v>
      </c>
      <c r="AH36" s="18" t="s">
        <v>50</v>
      </c>
      <c r="AI36" s="18" t="s">
        <v>51</v>
      </c>
    </row>
    <row r="37" spans="1:35" x14ac:dyDescent="0.25">
      <c r="O37" t="s">
        <v>52</v>
      </c>
      <c r="P37">
        <f>SQRT(R33*(1/P31+1/P32))</f>
        <v>7.3864085125297033E-2</v>
      </c>
      <c r="Q37">
        <f>(ABS(Q31-Q32-S29))/P37</f>
        <v>8.7893662937037966</v>
      </c>
      <c r="R37">
        <f>P31+P32-2</f>
        <v>8</v>
      </c>
      <c r="S37">
        <f>TDIST(Q37,R37,1)</f>
        <v>1.1024019691852973E-5</v>
      </c>
      <c r="T37">
        <f>TINV(T35*2,R37)</f>
        <v>2.8831691804359818</v>
      </c>
      <c r="W37" s="20" t="str">
        <f>IF(S37&lt;T35,"yes","no")</f>
        <v>yes</v>
      </c>
      <c r="X37">
        <f>SQRT(Q37^2/(Q37^2+R37))</f>
        <v>0.95192521544568842</v>
      </c>
      <c r="Z37" t="s">
        <v>52</v>
      </c>
      <c r="AA37">
        <f>SQRT(AC33*(1/AA31+1/AA32))</f>
        <v>8.530678518558403E-2</v>
      </c>
      <c r="AB37">
        <f>(ABS(AB31-AB32-AD29))/AA37</f>
        <v>3.7677015313621878</v>
      </c>
      <c r="AC37">
        <f>AA31+AA32-2</f>
        <v>8</v>
      </c>
      <c r="AD37">
        <f>TDIST(AB37,AC37,1)</f>
        <v>2.7418118490199978E-3</v>
      </c>
      <c r="AE37">
        <f>TINV(AE35*2,AC37)</f>
        <v>2.8831691804359818</v>
      </c>
      <c r="AH37" s="20" t="str">
        <f>IF(AD37&lt;AE35,"yes","no")</f>
        <v>yes</v>
      </c>
      <c r="AI37">
        <f>SQRT(AB37^2/(AB37^2+AC37))</f>
        <v>0.79972982560635408</v>
      </c>
    </row>
    <row r="38" spans="1:35" x14ac:dyDescent="0.25">
      <c r="O38" t="s">
        <v>53</v>
      </c>
      <c r="P38">
        <f>P37</f>
        <v>7.3864085125297033E-2</v>
      </c>
      <c r="Q38">
        <f t="shared" ref="Q38:R38" si="2">Q37</f>
        <v>8.7893662937037966</v>
      </c>
      <c r="R38">
        <f t="shared" si="2"/>
        <v>8</v>
      </c>
      <c r="S38">
        <f>TDIST(Q38,R38,2)</f>
        <v>2.2048039383705945E-5</v>
      </c>
      <c r="T38">
        <f>TINV(T35,R38)</f>
        <v>3.3416567736363878</v>
      </c>
      <c r="U38">
        <f>(Q31-Q32)-T38*P38</f>
        <v>0.40239007972815011</v>
      </c>
      <c r="V38">
        <f>(Q31-Q32)+T38*P38</f>
        <v>0.89604692050295731</v>
      </c>
      <c r="W38" s="20" t="str">
        <f>IF(S38&lt;T35,"yes","no")</f>
        <v>yes</v>
      </c>
      <c r="X38">
        <f>X37</f>
        <v>0.95192521544568842</v>
      </c>
      <c r="Z38" t="s">
        <v>53</v>
      </c>
      <c r="AA38">
        <f>AA37</f>
        <v>8.530678518558403E-2</v>
      </c>
      <c r="AB38">
        <f t="shared" ref="AB38:AC38" si="3">AB37</f>
        <v>3.7677015313621878</v>
      </c>
      <c r="AC38">
        <f t="shared" si="3"/>
        <v>8</v>
      </c>
      <c r="AD38">
        <f>TDIST(AB38,AC38,2)</f>
        <v>5.4836236980399956E-3</v>
      </c>
      <c r="AE38">
        <f>TINV(AE35,AC38)</f>
        <v>3.3416567736363878</v>
      </c>
      <c r="AF38">
        <f>(AB31-AB32)-AE38*AA38</f>
        <v>3.6344508626758976E-2</v>
      </c>
      <c r="AG38">
        <f>(AB31-AB32)+AE38*AA38</f>
        <v>0.60647650173186129</v>
      </c>
      <c r="AH38" s="20" t="str">
        <f>IF(AD38&lt;AE35,"yes","no")</f>
        <v>yes</v>
      </c>
      <c r="AI38">
        <f>AI37</f>
        <v>0.79972982560635408</v>
      </c>
    </row>
    <row r="39" spans="1:35" x14ac:dyDescent="0.25">
      <c r="O39" s="19"/>
      <c r="P39" s="19"/>
      <c r="Q39" s="19"/>
      <c r="R39" s="19"/>
      <c r="S39" s="19"/>
      <c r="T39" s="19"/>
      <c r="U39" s="19"/>
      <c r="V39" s="19"/>
      <c r="W39" s="19"/>
      <c r="X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ht="15.75" thickBot="1" x14ac:dyDescent="0.3">
      <c r="O40" t="s">
        <v>54</v>
      </c>
      <c r="S40" t="s">
        <v>41</v>
      </c>
      <c r="T40">
        <f>T35</f>
        <v>1.0206E-2</v>
      </c>
      <c r="Z40" t="s">
        <v>54</v>
      </c>
      <c r="AD40" t="s">
        <v>41</v>
      </c>
      <c r="AE40">
        <f>AE35</f>
        <v>1.0206E-2</v>
      </c>
    </row>
    <row r="41" spans="1:35" ht="15.75" thickTop="1" x14ac:dyDescent="0.25">
      <c r="O41" s="18" t="s">
        <v>42</v>
      </c>
      <c r="P41" s="18" t="s">
        <v>43</v>
      </c>
      <c r="Q41" s="18" t="s">
        <v>44</v>
      </c>
      <c r="R41" s="18" t="s">
        <v>45</v>
      </c>
      <c r="S41" s="18" t="s">
        <v>46</v>
      </c>
      <c r="T41" s="18" t="s">
        <v>47</v>
      </c>
      <c r="U41" s="18" t="s">
        <v>48</v>
      </c>
      <c r="V41" s="18" t="s">
        <v>49</v>
      </c>
      <c r="W41" s="18" t="s">
        <v>50</v>
      </c>
      <c r="X41" s="18" t="s">
        <v>51</v>
      </c>
      <c r="Z41" s="18" t="s">
        <v>42</v>
      </c>
      <c r="AA41" s="18" t="s">
        <v>43</v>
      </c>
      <c r="AB41" s="18" t="s">
        <v>44</v>
      </c>
      <c r="AC41" s="18" t="s">
        <v>45</v>
      </c>
      <c r="AD41" s="18" t="s">
        <v>46</v>
      </c>
      <c r="AE41" s="18" t="s">
        <v>47</v>
      </c>
      <c r="AF41" s="18" t="s">
        <v>48</v>
      </c>
      <c r="AG41" s="18" t="s">
        <v>49</v>
      </c>
      <c r="AH41" s="18" t="s">
        <v>50</v>
      </c>
      <c r="AI41" s="18" t="s">
        <v>51</v>
      </c>
    </row>
    <row r="42" spans="1:35" x14ac:dyDescent="0.25">
      <c r="O42" t="s">
        <v>52</v>
      </c>
      <c r="P42">
        <f>SQRT(R31/P31+R32/P32)</f>
        <v>7.3864085125297019E-2</v>
      </c>
      <c r="Q42">
        <f>(ABS(Q31-Q32-S29))/P42</f>
        <v>8.7893662937037984</v>
      </c>
      <c r="R42">
        <f>(R31/P31+R32/P32)^2/((R31/P31)^2/(P31-1)+(R32/P32)^2/(P32-1))</f>
        <v>6.4476322652040521</v>
      </c>
      <c r="S42">
        <f>TDIST(Q42,ROUND(R42,0),1)</f>
        <v>6.0141771771490308E-5</v>
      </c>
      <c r="T42">
        <f>TINV(T40*2,ROUND(R42,0))</f>
        <v>3.1266273284529715</v>
      </c>
      <c r="W42" s="20" t="str">
        <f>IF(S42&lt;T40,"yes","no")</f>
        <v>yes</v>
      </c>
      <c r="X42">
        <f>SQRT(Q42^2/(Q42^2+R42))</f>
        <v>0.96071218447006412</v>
      </c>
      <c r="Z42" t="s">
        <v>52</v>
      </c>
      <c r="AA42">
        <f>SQRT(AC31/AA31+AC32/AA32)</f>
        <v>8.5306785185584044E-2</v>
      </c>
      <c r="AB42">
        <f>(ABS(AB31-AB32-AD29))/AA42</f>
        <v>3.7677015313621869</v>
      </c>
      <c r="AC42">
        <f>(AC31/AA31+AC32/AA32)^2/((AC31/AA31)^2/(AA31-1)+(AC32/AA32)^2/(AA32-1))</f>
        <v>7.890884632940673</v>
      </c>
      <c r="AD42">
        <f>TDIST(AB42,ROUND(AC42,0),1)</f>
        <v>2.7418118490199995E-3</v>
      </c>
      <c r="AE42">
        <f>TINV(AE40*2,ROUND(AC42,0))</f>
        <v>2.8831691804359818</v>
      </c>
      <c r="AH42" s="20" t="str">
        <f>IF(AD42&lt;AE40,"yes","no")</f>
        <v>yes</v>
      </c>
      <c r="AI42">
        <f>SQRT(AB42^2/(AB42^2+AC42))</f>
        <v>0.80170287387375549</v>
      </c>
    </row>
    <row r="43" spans="1:35" x14ac:dyDescent="0.25">
      <c r="O43" t="s">
        <v>53</v>
      </c>
      <c r="P43">
        <f>P42</f>
        <v>7.3864085125297019E-2</v>
      </c>
      <c r="Q43">
        <f t="shared" ref="Q43:R43" si="4">Q42</f>
        <v>8.7893662937037984</v>
      </c>
      <c r="R43">
        <f t="shared" si="4"/>
        <v>6.4476322652040521</v>
      </c>
      <c r="S43" s="12">
        <f>TDIST(Q43,ROUND(R43,0),2)</f>
        <v>1.2028354354298062E-4</v>
      </c>
      <c r="T43">
        <f>TINV(T40,ROUND(R43,0))</f>
        <v>3.6902255072644148</v>
      </c>
      <c r="U43">
        <f>(Q31-Q32)-T43*P43</f>
        <v>0.37664336911543261</v>
      </c>
      <c r="V43">
        <f>(Q31-Q32)+T43*P43</f>
        <v>0.92179363111567481</v>
      </c>
      <c r="W43" s="37" t="str">
        <f>IF(S43&lt;T40,"yes","no")</f>
        <v>yes</v>
      </c>
      <c r="X43">
        <f>X42</f>
        <v>0.96071218447006412</v>
      </c>
      <c r="Z43" t="s">
        <v>53</v>
      </c>
      <c r="AA43">
        <f>AA42</f>
        <v>8.5306785185584044E-2</v>
      </c>
      <c r="AB43">
        <f t="shared" ref="AB43:AC43" si="5">AB42</f>
        <v>3.7677015313621869</v>
      </c>
      <c r="AC43">
        <f t="shared" si="5"/>
        <v>7.890884632940673</v>
      </c>
      <c r="AD43" s="12">
        <f>TDIST(AB43,ROUND(AC43,0),2)</f>
        <v>5.483623698039999E-3</v>
      </c>
      <c r="AE43">
        <f>TINV(AE40,ROUND(AC43,0))</f>
        <v>3.3416567736363878</v>
      </c>
      <c r="AF43">
        <f>(AB31-AB32)-AE43*AA43</f>
        <v>3.6344508626758976E-2</v>
      </c>
      <c r="AG43">
        <f>(AB31-AB32)+AE43*AA43</f>
        <v>0.60647650173186129</v>
      </c>
      <c r="AH43" s="37" t="str">
        <f>IF(AD43&lt;AE40,"yes","no")</f>
        <v>yes</v>
      </c>
      <c r="AI43">
        <f>AI42</f>
        <v>0.80170287387375549</v>
      </c>
    </row>
    <row r="44" spans="1:35" x14ac:dyDescent="0.25">
      <c r="O44" s="19"/>
      <c r="P44" s="19"/>
      <c r="Q44" s="19"/>
      <c r="R44" s="19"/>
      <c r="S44" s="19"/>
      <c r="T44" s="19"/>
      <c r="U44" s="19"/>
      <c r="V44" s="19"/>
      <c r="W44" s="19"/>
      <c r="X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6" spans="1:35" x14ac:dyDescent="0.25">
      <c r="O46" t="s">
        <v>31</v>
      </c>
      <c r="Z46" t="s">
        <v>31</v>
      </c>
    </row>
    <row r="48" spans="1:35" ht="15.75" thickBot="1" x14ac:dyDescent="0.3">
      <c r="O48" t="s">
        <v>32</v>
      </c>
      <c r="R48" t="s">
        <v>33</v>
      </c>
      <c r="S48">
        <v>0</v>
      </c>
      <c r="Z48" t="s">
        <v>32</v>
      </c>
      <c r="AC48" t="s">
        <v>33</v>
      </c>
      <c r="AD48">
        <v>0</v>
      </c>
    </row>
    <row r="49" spans="15:35" ht="15.75" thickTop="1" x14ac:dyDescent="0.25">
      <c r="O49" s="18" t="s">
        <v>34</v>
      </c>
      <c r="P49" s="18" t="s">
        <v>35</v>
      </c>
      <c r="Q49" s="18" t="s">
        <v>36</v>
      </c>
      <c r="R49" s="18" t="s">
        <v>37</v>
      </c>
      <c r="S49" s="18" t="s">
        <v>38</v>
      </c>
      <c r="Z49" s="18" t="s">
        <v>34</v>
      </c>
      <c r="AA49" s="18" t="s">
        <v>35</v>
      </c>
      <c r="AB49" s="18" t="s">
        <v>36</v>
      </c>
      <c r="AC49" s="18" t="s">
        <v>37</v>
      </c>
      <c r="AD49" s="18" t="s">
        <v>38</v>
      </c>
    </row>
    <row r="50" spans="15:35" x14ac:dyDescent="0.25">
      <c r="O50" s="12" t="str">
        <f>B27</f>
        <v>24h</v>
      </c>
      <c r="P50">
        <f>COUNT(B28:B32)</f>
        <v>5</v>
      </c>
      <c r="Q50" s="10">
        <f>AVERAGE(B28:B32)</f>
        <v>7.5153489940591189</v>
      </c>
      <c r="R50">
        <f>VAR(B28:B32)</f>
        <v>2.0332495748831902E-2</v>
      </c>
      <c r="Z50" s="12" t="str">
        <f>C27</f>
        <v>inhib</v>
      </c>
      <c r="AA50">
        <f>COUNT(C28:C32)</f>
        <v>5</v>
      </c>
      <c r="AB50" s="10">
        <f>AVERAGE(C28:C32)</f>
        <v>6.8661304939435652</v>
      </c>
      <c r="AC50">
        <f>VAR(C28:C32)</f>
        <v>6.9470196081537249E-3</v>
      </c>
    </row>
    <row r="51" spans="15:35" x14ac:dyDescent="0.25">
      <c r="O51" s="12" t="str">
        <f>E27</f>
        <v>48h</v>
      </c>
      <c r="P51">
        <f>COUNT(E28:E32)</f>
        <v>5</v>
      </c>
      <c r="Q51" s="10">
        <f>AVERAGE(E28:E32)</f>
        <v>7.7842878107395421</v>
      </c>
      <c r="R51">
        <f>VAR(E28:E32)</f>
        <v>2.9658883946259507E-3</v>
      </c>
      <c r="Z51" s="12" t="str">
        <f>E27</f>
        <v>48h</v>
      </c>
      <c r="AA51">
        <f>COUNT(E28:E32)</f>
        <v>5</v>
      </c>
      <c r="AB51" s="10">
        <f>AVERAGE(E28:E32)</f>
        <v>7.7842878107395421</v>
      </c>
      <c r="AC51">
        <f>VAR(E28:E32)</f>
        <v>2.9658883946259507E-3</v>
      </c>
    </row>
    <row r="52" spans="15:35" x14ac:dyDescent="0.25">
      <c r="O52" s="19" t="s">
        <v>39</v>
      </c>
      <c r="P52" s="19"/>
      <c r="Q52" s="19"/>
      <c r="R52" s="19">
        <f>((P50-1)*R50+(P51-1)*R51)/(P50+P51-2)</f>
        <v>1.1649192071728926E-2</v>
      </c>
      <c r="S52" s="19">
        <f>ABS(Q50-Q51-S48)/SQRT(R52)</f>
        <v>2.4917564245378037</v>
      </c>
      <c r="Z52" s="19" t="s">
        <v>39</v>
      </c>
      <c r="AA52" s="19"/>
      <c r="AB52" s="19"/>
      <c r="AC52" s="19">
        <f>((AA50-1)*AC50+(AA51-1)*AC51)/(AA50+AA51-2)</f>
        <v>4.9564540013898378E-3</v>
      </c>
      <c r="AD52" s="19">
        <f>ABS(AB50-AB51-AD48)/SQRT(AC52)</f>
        <v>13.041620529520115</v>
      </c>
    </row>
    <row r="54" spans="15:35" ht="15.75" thickBot="1" x14ac:dyDescent="0.3">
      <c r="O54" t="s">
        <v>40</v>
      </c>
      <c r="S54" t="s">
        <v>41</v>
      </c>
      <c r="T54">
        <v>1.0206E-2</v>
      </c>
      <c r="Z54" t="s">
        <v>40</v>
      </c>
      <c r="AD54" t="s">
        <v>41</v>
      </c>
      <c r="AE54">
        <v>1.0206E-2</v>
      </c>
    </row>
    <row r="55" spans="15:35" ht="15.75" thickTop="1" x14ac:dyDescent="0.25">
      <c r="O55" s="18" t="s">
        <v>42</v>
      </c>
      <c r="P55" s="18" t="s">
        <v>43</v>
      </c>
      <c r="Q55" s="18" t="s">
        <v>44</v>
      </c>
      <c r="R55" s="18" t="s">
        <v>45</v>
      </c>
      <c r="S55" s="18" t="s">
        <v>46</v>
      </c>
      <c r="T55" s="18" t="s">
        <v>47</v>
      </c>
      <c r="U55" s="18" t="s">
        <v>48</v>
      </c>
      <c r="V55" s="18" t="s">
        <v>49</v>
      </c>
      <c r="W55" s="18" t="s">
        <v>50</v>
      </c>
      <c r="X55" s="18" t="s">
        <v>51</v>
      </c>
      <c r="Z55" s="18" t="s">
        <v>42</v>
      </c>
      <c r="AA55" s="18" t="s">
        <v>43</v>
      </c>
      <c r="AB55" s="18" t="s">
        <v>44</v>
      </c>
      <c r="AC55" s="18" t="s">
        <v>45</v>
      </c>
      <c r="AD55" s="18" t="s">
        <v>46</v>
      </c>
      <c r="AE55" s="18" t="s">
        <v>47</v>
      </c>
      <c r="AF55" s="18" t="s">
        <v>48</v>
      </c>
      <c r="AG55" s="18" t="s">
        <v>49</v>
      </c>
      <c r="AH55" s="18" t="s">
        <v>50</v>
      </c>
      <c r="AI55" s="18" t="s">
        <v>51</v>
      </c>
    </row>
    <row r="56" spans="15:35" x14ac:dyDescent="0.25">
      <c r="O56" t="s">
        <v>52</v>
      </c>
      <c r="P56">
        <f>SQRT(R52*(1/P50+1/P51))</f>
        <v>6.8261825559323933E-2</v>
      </c>
      <c r="Q56">
        <f>(ABS(Q50-Q51-S48))/P56</f>
        <v>3.9398128379484665</v>
      </c>
      <c r="R56">
        <f>P50+P51-2</f>
        <v>8</v>
      </c>
      <c r="S56">
        <f>TDIST(Q56,R56,1)</f>
        <v>2.1485130304571419E-3</v>
      </c>
      <c r="T56">
        <f>TINV(T54*2,R56)</f>
        <v>2.8831691804359818</v>
      </c>
      <c r="W56" s="20" t="str">
        <f>IF(S56&lt;T54,"yes","no")</f>
        <v>yes</v>
      </c>
      <c r="X56">
        <f>SQRT(Q56^2/(Q56^2+R56))</f>
        <v>0.81233901574129264</v>
      </c>
      <c r="Z56" t="s">
        <v>52</v>
      </c>
      <c r="AA56">
        <f>SQRT(AC52*(1/AA50+1/AA51))</f>
        <v>4.4526190052102316E-2</v>
      </c>
      <c r="AB56">
        <f>(ABS(AB50-AB51-AD48))/AA56</f>
        <v>20.620612626447382</v>
      </c>
      <c r="AC56">
        <f>AA50+AA51-2</f>
        <v>8</v>
      </c>
      <c r="AD56">
        <f>TDIST(AB56,AC56,1)</f>
        <v>1.6018761867921166E-8</v>
      </c>
      <c r="AE56">
        <f>TINV(AE54*2,AC56)</f>
        <v>2.8831691804359818</v>
      </c>
      <c r="AH56" s="20" t="str">
        <f>IF(AD56&lt;AE54,"yes","no")</f>
        <v>yes</v>
      </c>
      <c r="AI56">
        <f>SQRT(AB56^2/(AB56^2+AC56))</f>
        <v>0.99072356958345376</v>
      </c>
    </row>
    <row r="57" spans="15:35" x14ac:dyDescent="0.25">
      <c r="O57" t="s">
        <v>53</v>
      </c>
      <c r="P57">
        <f>P56</f>
        <v>6.8261825559323933E-2</v>
      </c>
      <c r="Q57">
        <f t="shared" ref="Q57:R57" si="6">Q56</f>
        <v>3.9398128379484665</v>
      </c>
      <c r="R57">
        <f t="shared" si="6"/>
        <v>8</v>
      </c>
      <c r="S57">
        <f>TDIST(Q57,R57,2)</f>
        <v>4.2970260609142838E-3</v>
      </c>
      <c r="T57">
        <f>TINV(T54,R57)</f>
        <v>3.3416567736363878</v>
      </c>
      <c r="U57">
        <f>(Q50-Q51)-T57*P57</f>
        <v>-0.49704640844152348</v>
      </c>
      <c r="V57">
        <f>(Q50-Q51)+T57*P57</f>
        <v>-4.0831224919322867E-2</v>
      </c>
      <c r="W57" s="20" t="str">
        <f>IF(S57&lt;T54,"yes","no")</f>
        <v>yes</v>
      </c>
      <c r="X57">
        <f>X56</f>
        <v>0.81233901574129264</v>
      </c>
      <c r="Z57" t="s">
        <v>53</v>
      </c>
      <c r="AA57">
        <f>AA56</f>
        <v>4.4526190052102316E-2</v>
      </c>
      <c r="AB57">
        <f t="shared" ref="AB57:AC57" si="7">AB56</f>
        <v>20.620612626447382</v>
      </c>
      <c r="AC57">
        <f t="shared" si="7"/>
        <v>8</v>
      </c>
      <c r="AD57">
        <f>TDIST(AB57,AC57,2)</f>
        <v>3.2037523735842332E-8</v>
      </c>
      <c r="AE57">
        <f>TINV(AE54,AC57)</f>
        <v>3.3416567736363878</v>
      </c>
      <c r="AF57">
        <f>(AB50-AB51)-AE57*AA57</f>
        <v>-1.0669485613878058</v>
      </c>
      <c r="AG57">
        <f>(AB50-AB51)+AE57*AA57</f>
        <v>-0.76936607220414799</v>
      </c>
      <c r="AH57" s="20" t="str">
        <f>IF(AD57&lt;AE54,"yes","no")</f>
        <v>yes</v>
      </c>
      <c r="AI57">
        <f>AI56</f>
        <v>0.99072356958345376</v>
      </c>
    </row>
    <row r="58" spans="15:35" x14ac:dyDescent="0.25">
      <c r="O58" s="19"/>
      <c r="P58" s="19"/>
      <c r="Q58" s="19"/>
      <c r="R58" s="19"/>
      <c r="S58" s="19"/>
      <c r="T58" s="19"/>
      <c r="U58" s="19"/>
      <c r="V58" s="19"/>
      <c r="W58" s="19"/>
      <c r="X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5:35" ht="15.75" thickBot="1" x14ac:dyDescent="0.3">
      <c r="O59" t="s">
        <v>54</v>
      </c>
      <c r="S59" t="s">
        <v>41</v>
      </c>
      <c r="T59">
        <f>T54</f>
        <v>1.0206E-2</v>
      </c>
      <c r="Z59" t="s">
        <v>54</v>
      </c>
      <c r="AD59" t="s">
        <v>41</v>
      </c>
      <c r="AE59">
        <f>AE54</f>
        <v>1.0206E-2</v>
      </c>
    </row>
    <row r="60" spans="15:35" ht="15.75" thickTop="1" x14ac:dyDescent="0.25">
      <c r="O60" s="18" t="s">
        <v>42</v>
      </c>
      <c r="P60" s="18" t="s">
        <v>43</v>
      </c>
      <c r="Q60" s="18" t="s">
        <v>44</v>
      </c>
      <c r="R60" s="18" t="s">
        <v>45</v>
      </c>
      <c r="S60" s="18" t="s">
        <v>46</v>
      </c>
      <c r="T60" s="18" t="s">
        <v>47</v>
      </c>
      <c r="U60" s="18" t="s">
        <v>48</v>
      </c>
      <c r="V60" s="18" t="s">
        <v>49</v>
      </c>
      <c r="W60" s="18" t="s">
        <v>50</v>
      </c>
      <c r="X60" s="18" t="s">
        <v>51</v>
      </c>
      <c r="Z60" s="18" t="s">
        <v>42</v>
      </c>
      <c r="AA60" s="18" t="s">
        <v>43</v>
      </c>
      <c r="AB60" s="18" t="s">
        <v>44</v>
      </c>
      <c r="AC60" s="18" t="s">
        <v>45</v>
      </c>
      <c r="AD60" s="18" t="s">
        <v>46</v>
      </c>
      <c r="AE60" s="18" t="s">
        <v>47</v>
      </c>
      <c r="AF60" s="18" t="s">
        <v>48</v>
      </c>
      <c r="AG60" s="18" t="s">
        <v>49</v>
      </c>
      <c r="AH60" s="18" t="s">
        <v>50</v>
      </c>
      <c r="AI60" s="18" t="s">
        <v>51</v>
      </c>
    </row>
    <row r="61" spans="15:35" x14ac:dyDescent="0.25">
      <c r="O61" t="s">
        <v>52</v>
      </c>
      <c r="P61">
        <f>SQRT(R50/P50+R51/P51)</f>
        <v>6.8261825559323933E-2</v>
      </c>
      <c r="Q61">
        <f>(ABS(Q50-Q51-S48))/P61</f>
        <v>3.9398128379484665</v>
      </c>
      <c r="R61">
        <f>(R50/P50+R51/P51)^2/((R50/P50)^2/(P50-1)+(R51/P51)^2/(P51-1))</f>
        <v>5.1426419873473259</v>
      </c>
      <c r="S61">
        <f>TDIST(Q61,ROUND(R61,0),1)</f>
        <v>5.4809732097294206E-3</v>
      </c>
      <c r="T61">
        <f>TINV(T59*2,ROUND(R61,0))</f>
        <v>3.3462671574883767</v>
      </c>
      <c r="W61" s="20" t="str">
        <f>IF(S61&lt;T59,"yes","no")</f>
        <v>yes</v>
      </c>
      <c r="X61">
        <f>SQRT(Q61^2/(Q61^2+R61))</f>
        <v>0.86668310911745561</v>
      </c>
      <c r="Z61" t="s">
        <v>52</v>
      </c>
      <c r="AA61">
        <f>SQRT(AC50/AA50+AC51/AA51)</f>
        <v>4.4526190052102316E-2</v>
      </c>
      <c r="AB61">
        <f>(ABS(AB50-AB51-AD48))/AA61</f>
        <v>20.620612626447382</v>
      </c>
      <c r="AC61">
        <f>(AC50/AA50+AC51/AA51)^2/((AC50/AA50)^2/(AA50-1)+(AC51/AA51)^2/(AA51-1))</f>
        <v>6.8888833339517284</v>
      </c>
      <c r="AD61">
        <f>TDIST(AB61,ROUND(AC61,0),1)</f>
        <v>7.9171458697304278E-8</v>
      </c>
      <c r="AE61">
        <f>TINV(AE59*2,ROUND(AC61,0))</f>
        <v>2.9835480643416554</v>
      </c>
      <c r="AH61" s="20" t="str">
        <f>IF(AD61&lt;AE59,"yes","no")</f>
        <v>yes</v>
      </c>
      <c r="AI61">
        <f>SQRT(AB61^2/(AB61^2+AC61))</f>
        <v>0.99199654621679689</v>
      </c>
    </row>
    <row r="62" spans="15:35" x14ac:dyDescent="0.25">
      <c r="O62" t="s">
        <v>53</v>
      </c>
      <c r="P62">
        <f>P61</f>
        <v>6.8261825559323933E-2</v>
      </c>
      <c r="Q62">
        <f t="shared" ref="Q62:R62" si="8">Q61</f>
        <v>3.9398128379484665</v>
      </c>
      <c r="R62">
        <f t="shared" si="8"/>
        <v>5.1426419873473259</v>
      </c>
      <c r="S62" s="12">
        <f>TDIST(Q62,ROUND(R62,0),2)</f>
        <v>1.0961946419458841E-2</v>
      </c>
      <c r="T62">
        <f>TINV(T59,ROUND(R62,0))</f>
        <v>4.0115336584667078</v>
      </c>
      <c r="U62">
        <f>(Q50-Q51)-T62*P62</f>
        <v>-0.54277342750003421</v>
      </c>
      <c r="V62">
        <f>(Q50-Q51)+T62*P62</f>
        <v>4.8957941391877813E-3</v>
      </c>
      <c r="W62" s="37" t="str">
        <f>IF(S62&lt;T59,"yes","no")</f>
        <v>no</v>
      </c>
      <c r="X62">
        <f>X61</f>
        <v>0.86668310911745561</v>
      </c>
      <c r="Z62" t="s">
        <v>53</v>
      </c>
      <c r="AA62">
        <f>AA61</f>
        <v>4.4526190052102316E-2</v>
      </c>
      <c r="AB62">
        <f t="shared" ref="AB62:AC62" si="9">AB61</f>
        <v>20.620612626447382</v>
      </c>
      <c r="AC62">
        <f t="shared" si="9"/>
        <v>6.8888833339517284</v>
      </c>
      <c r="AD62" s="12">
        <f>TDIST(AB62,ROUND(AC62,0),2)</f>
        <v>1.5834291739460856E-7</v>
      </c>
      <c r="AE62">
        <f>TINV(AE59,ROUND(AC62,0))</f>
        <v>3.4843614987638527</v>
      </c>
      <c r="AF62">
        <f>(AB50-AB51)-AE62*AA62</f>
        <v>-1.0733026591001642</v>
      </c>
      <c r="AG62">
        <f>(AB50-AB51)+AE62*AA62</f>
        <v>-0.76301197449178959</v>
      </c>
      <c r="AH62" s="37" t="str">
        <f>IF(AD62&lt;AE59,"yes","no")</f>
        <v>yes</v>
      </c>
      <c r="AI62">
        <f>AI61</f>
        <v>0.99199654621679689</v>
      </c>
    </row>
    <row r="63" spans="15:35" x14ac:dyDescent="0.25">
      <c r="O63" s="19"/>
      <c r="P63" s="19"/>
      <c r="Q63" s="19"/>
      <c r="R63" s="19"/>
      <c r="S63" s="19"/>
      <c r="T63" s="19"/>
      <c r="U63" s="19"/>
      <c r="V63" s="19"/>
      <c r="W63" s="19"/>
      <c r="X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5" spans="15:24" x14ac:dyDescent="0.25">
      <c r="O65" t="s">
        <v>31</v>
      </c>
    </row>
    <row r="67" spans="15:24" ht="15.75" thickBot="1" x14ac:dyDescent="0.3">
      <c r="O67" t="s">
        <v>32</v>
      </c>
      <c r="R67" t="s">
        <v>33</v>
      </c>
      <c r="S67">
        <v>0</v>
      </c>
    </row>
    <row r="68" spans="15:24" ht="15.75" thickTop="1" x14ac:dyDescent="0.25">
      <c r="O68" s="18" t="s">
        <v>34</v>
      </c>
      <c r="P68" s="18" t="s">
        <v>35</v>
      </c>
      <c r="Q68" s="18" t="s">
        <v>36</v>
      </c>
      <c r="R68" s="18" t="s">
        <v>37</v>
      </c>
      <c r="S68" s="18" t="s">
        <v>38</v>
      </c>
    </row>
    <row r="69" spans="15:24" x14ac:dyDescent="0.25">
      <c r="O69" s="12" t="str">
        <f>D27</f>
        <v>dispers</v>
      </c>
      <c r="P69">
        <f>COUNT(D28:D32)</f>
        <v>5</v>
      </c>
      <c r="Q69" s="10">
        <f>AVERAGE(D28:D32)</f>
        <v>7.1939384888798088</v>
      </c>
      <c r="R69">
        <f>VAR(D28:D32)</f>
        <v>1.6053742244664999E-2</v>
      </c>
    </row>
    <row r="70" spans="15:24" x14ac:dyDescent="0.25">
      <c r="O70" s="12" t="str">
        <f>E27</f>
        <v>48h</v>
      </c>
      <c r="P70">
        <f>COUNT(E28:E32)</f>
        <v>5</v>
      </c>
      <c r="Q70" s="10">
        <f>AVERAGE(E28:E32)</f>
        <v>7.7842878107395421</v>
      </c>
      <c r="R70">
        <f>VAR(E28:E32)</f>
        <v>2.9658883946259507E-3</v>
      </c>
    </row>
    <row r="71" spans="15:24" x14ac:dyDescent="0.25">
      <c r="O71" s="19" t="s">
        <v>39</v>
      </c>
      <c r="P71" s="19"/>
      <c r="Q71" s="19"/>
      <c r="R71" s="19">
        <f>((P69-1)*R69+(P70-1)*R70)/(P69+P70-2)</f>
        <v>9.5098153196454746E-3</v>
      </c>
      <c r="S71" s="19">
        <f>ABS(Q69-Q70-S67)/SQRT(R71)</f>
        <v>6.0537297201572873</v>
      </c>
    </row>
    <row r="73" spans="15:24" ht="15.75" thickBot="1" x14ac:dyDescent="0.3">
      <c r="O73" t="s">
        <v>40</v>
      </c>
      <c r="S73" t="s">
        <v>41</v>
      </c>
      <c r="T73">
        <v>1.0206E-2</v>
      </c>
    </row>
    <row r="74" spans="15:24" ht="15.75" thickTop="1" x14ac:dyDescent="0.25">
      <c r="O74" s="18" t="s">
        <v>42</v>
      </c>
      <c r="P74" s="18" t="s">
        <v>43</v>
      </c>
      <c r="Q74" s="18" t="s">
        <v>44</v>
      </c>
      <c r="R74" s="18" t="s">
        <v>45</v>
      </c>
      <c r="S74" s="18" t="s">
        <v>46</v>
      </c>
      <c r="T74" s="18" t="s">
        <v>47</v>
      </c>
      <c r="U74" s="18" t="s">
        <v>48</v>
      </c>
      <c r="V74" s="18" t="s">
        <v>49</v>
      </c>
      <c r="W74" s="18" t="s">
        <v>50</v>
      </c>
      <c r="X74" s="18" t="s">
        <v>51</v>
      </c>
    </row>
    <row r="75" spans="15:24" x14ac:dyDescent="0.25">
      <c r="O75" t="s">
        <v>52</v>
      </c>
      <c r="P75">
        <f>SQRT(R71*(1/P69+1/P70))</f>
        <v>6.1675976910448613E-2</v>
      </c>
      <c r="Q75">
        <f>(ABS(Q69-Q70-S67))/P75</f>
        <v>9.5717871273753818</v>
      </c>
      <c r="R75">
        <f>P69+P70-2</f>
        <v>8</v>
      </c>
      <c r="S75">
        <f>TDIST(Q75,R75,1)</f>
        <v>5.8785183686564533E-6</v>
      </c>
      <c r="T75">
        <f>TINV(T73*2,R75)</f>
        <v>2.8831691804359818</v>
      </c>
      <c r="W75" s="20" t="str">
        <f>IF(S75&lt;T73,"yes","no")</f>
        <v>yes</v>
      </c>
      <c r="X75">
        <f>SQRT(Q75^2/(Q75^2+R75))</f>
        <v>0.95900684147040016</v>
      </c>
    </row>
    <row r="76" spans="15:24" x14ac:dyDescent="0.25">
      <c r="O76" t="s">
        <v>53</v>
      </c>
      <c r="P76">
        <f>P75</f>
        <v>6.1675976910448613E-2</v>
      </c>
      <c r="Q76">
        <f t="shared" ref="Q76:R76" si="10">Q75</f>
        <v>9.5717871273753818</v>
      </c>
      <c r="R76">
        <f t="shared" si="10"/>
        <v>8</v>
      </c>
      <c r="S76">
        <f>TDIST(Q76,R76,2)</f>
        <v>1.1757036737312907E-5</v>
      </c>
      <c r="T76">
        <f>TINV(T73,R76)</f>
        <v>3.3416567736363878</v>
      </c>
      <c r="U76">
        <f>(Q69-Q70)-T76*P76</f>
        <v>-0.79644926787317538</v>
      </c>
      <c r="V76">
        <f>(Q69-Q70)+T76*P76</f>
        <v>-0.38424937584629126</v>
      </c>
      <c r="W76" s="20" t="str">
        <f>IF(S76&lt;T73,"yes","no")</f>
        <v>yes</v>
      </c>
      <c r="X76">
        <f>X75</f>
        <v>0.95900684147040016</v>
      </c>
    </row>
    <row r="77" spans="15:24" x14ac:dyDescent="0.25"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5:24" ht="15.75" thickBot="1" x14ac:dyDescent="0.3">
      <c r="O78" t="s">
        <v>54</v>
      </c>
      <c r="S78" t="s">
        <v>41</v>
      </c>
      <c r="T78">
        <f>T73</f>
        <v>1.0206E-2</v>
      </c>
    </row>
    <row r="79" spans="15:24" ht="15.75" thickTop="1" x14ac:dyDescent="0.25">
      <c r="O79" s="18" t="s">
        <v>42</v>
      </c>
      <c r="P79" s="18" t="s">
        <v>43</v>
      </c>
      <c r="Q79" s="18" t="s">
        <v>44</v>
      </c>
      <c r="R79" s="18" t="s">
        <v>45</v>
      </c>
      <c r="S79" s="18" t="s">
        <v>46</v>
      </c>
      <c r="T79" s="18" t="s">
        <v>47</v>
      </c>
      <c r="U79" s="18" t="s">
        <v>48</v>
      </c>
      <c r="V79" s="18" t="s">
        <v>49</v>
      </c>
      <c r="W79" s="18" t="s">
        <v>50</v>
      </c>
      <c r="X79" s="18" t="s">
        <v>51</v>
      </c>
    </row>
    <row r="80" spans="15:24" x14ac:dyDescent="0.25">
      <c r="O80" t="s">
        <v>52</v>
      </c>
      <c r="P80">
        <f>SQRT(R69/P69+R70/P70)</f>
        <v>6.1675976910448613E-2</v>
      </c>
      <c r="Q80">
        <f>(ABS(Q69-Q70-S67))/P80</f>
        <v>9.5717871273753818</v>
      </c>
      <c r="R80">
        <f>(R69/P69+R70/P70)^2/((R69/P69)^2/(P69-1)+(R70/P70)^2/(P70-1))</f>
        <v>5.429198935003356</v>
      </c>
      <c r="S80">
        <f>TDIST(Q80,ROUND(R80,0),1)</f>
        <v>1.0539408061263422E-4</v>
      </c>
      <c r="T80">
        <f>TINV(T78*2,ROUND(R80,0))</f>
        <v>3.3462671574883767</v>
      </c>
      <c r="W80" s="20" t="str">
        <f>IF(S80&lt;T78,"yes","no")</f>
        <v>yes</v>
      </c>
      <c r="X80">
        <f>SQRT(Q80^2/(Q80^2+R80))</f>
        <v>0.97162582186291446</v>
      </c>
    </row>
    <row r="81" spans="15:24" x14ac:dyDescent="0.25">
      <c r="O81" t="s">
        <v>53</v>
      </c>
      <c r="P81">
        <f>P80</f>
        <v>6.1675976910448613E-2</v>
      </c>
      <c r="Q81">
        <f t="shared" ref="Q81:R81" si="11">Q80</f>
        <v>9.5717871273753818</v>
      </c>
      <c r="R81">
        <f t="shared" si="11"/>
        <v>5.429198935003356</v>
      </c>
      <c r="S81" s="12">
        <f>TDIST(Q81,ROUND(R81,0),2)</f>
        <v>2.1078816122526843E-4</v>
      </c>
      <c r="T81">
        <f>TINV(T78,ROUND(R81,0))</f>
        <v>4.0115336584667078</v>
      </c>
      <c r="U81">
        <f>(Q69-Q70)-T81*P81</f>
        <v>-0.83776457915481339</v>
      </c>
      <c r="V81">
        <f>(Q69-Q70)+T81*P81</f>
        <v>-0.3429340645646532</v>
      </c>
      <c r="W81" s="37" t="str">
        <f>IF(S81&lt;T78,"yes","no")</f>
        <v>yes</v>
      </c>
      <c r="X81">
        <f>X80</f>
        <v>0.97162582186291446</v>
      </c>
    </row>
    <row r="82" spans="15:24" x14ac:dyDescent="0.25">
      <c r="O82" s="19"/>
      <c r="P82" s="19"/>
      <c r="Q82" s="19"/>
      <c r="R82" s="19"/>
      <c r="S82" s="19"/>
      <c r="T82" s="19"/>
      <c r="U82" s="19"/>
      <c r="V82" s="19"/>
      <c r="W82" s="19"/>
      <c r="X82" s="1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workbookViewId="0">
      <selection activeCell="C86" sqref="C86"/>
    </sheetView>
  </sheetViews>
  <sheetFormatPr defaultRowHeight="15" x14ac:dyDescent="0.25"/>
  <cols>
    <col min="1" max="1" width="10.140625" bestFit="1" customWidth="1"/>
    <col min="2" max="2" width="10.5703125" customWidth="1"/>
    <col min="11" max="11" width="10.5703125" customWidth="1"/>
    <col min="12" max="12" width="9.85546875" customWidth="1"/>
  </cols>
  <sheetData>
    <row r="1" spans="1:13" x14ac:dyDescent="0.25">
      <c r="A1" t="s">
        <v>76</v>
      </c>
    </row>
    <row r="2" spans="1:13" x14ac:dyDescent="0.25">
      <c r="B2" s="36">
        <v>42797</v>
      </c>
    </row>
    <row r="3" spans="1:13" x14ac:dyDescent="0.25">
      <c r="B3" s="7" t="s">
        <v>20</v>
      </c>
    </row>
    <row r="4" spans="1:13" x14ac:dyDescent="0.25">
      <c r="B4" s="7" t="s">
        <v>16</v>
      </c>
      <c r="C4" s="7" t="s">
        <v>17</v>
      </c>
      <c r="D4" s="7" t="s">
        <v>18</v>
      </c>
      <c r="E4" s="7" t="s">
        <v>19</v>
      </c>
      <c r="F4" s="7"/>
    </row>
    <row r="5" spans="1:13" x14ac:dyDescent="0.25">
      <c r="B5" s="10">
        <v>2.7631696386949223</v>
      </c>
      <c r="C5" s="10">
        <v>2.921304619805281</v>
      </c>
      <c r="D5" s="10" t="s">
        <v>83</v>
      </c>
      <c r="E5" s="10">
        <v>5.8753313230670292</v>
      </c>
      <c r="F5" s="10"/>
    </row>
    <row r="6" spans="1:13" x14ac:dyDescent="0.25">
      <c r="B6" s="10">
        <v>3.4761540048310633</v>
      </c>
      <c r="C6" s="10">
        <v>3.7379807945962127</v>
      </c>
      <c r="D6" s="10" t="s">
        <v>83</v>
      </c>
      <c r="E6" s="10">
        <v>4.7921656121837657</v>
      </c>
      <c r="F6" s="10"/>
    </row>
    <row r="7" spans="1:13" x14ac:dyDescent="0.25">
      <c r="B7" s="10">
        <v>1.903089986991944</v>
      </c>
      <c r="C7" s="10">
        <v>4.0233646111332453</v>
      </c>
      <c r="D7" s="10">
        <v>1.7525749891599531</v>
      </c>
      <c r="E7" s="10">
        <v>3.7160033436347999</v>
      </c>
      <c r="F7" s="10"/>
    </row>
    <row r="8" spans="1:13" x14ac:dyDescent="0.25">
      <c r="A8" s="12" t="s">
        <v>23</v>
      </c>
      <c r="B8" s="13">
        <f>AVERAGE(B5:B7)</f>
        <v>2.7141378768393096</v>
      </c>
      <c r="C8" s="13">
        <f t="shared" ref="C8:E8" si="0">AVERAGE(C5:C7)</f>
        <v>3.5608833418449124</v>
      </c>
      <c r="D8" s="13">
        <f t="shared" si="0"/>
        <v>1.7525749891599531</v>
      </c>
      <c r="E8" s="13">
        <f t="shared" si="0"/>
        <v>4.7945000929618651</v>
      </c>
      <c r="F8" s="10"/>
    </row>
    <row r="9" spans="1:13" x14ac:dyDescent="0.25">
      <c r="A9" s="16" t="s">
        <v>24</v>
      </c>
      <c r="B9" s="34">
        <f>_xlfn.STDEV.S(B5:B7)</f>
        <v>0.78767739989670693</v>
      </c>
      <c r="C9" s="34">
        <f t="shared" ref="C9:E9" si="1">_xlfn.STDEV.S(C5:C7)</f>
        <v>0.57197612445774593</v>
      </c>
      <c r="D9" s="34" t="e">
        <f t="shared" si="1"/>
        <v>#DIV/0!</v>
      </c>
      <c r="E9" s="34">
        <f t="shared" si="1"/>
        <v>1.0796658825952103</v>
      </c>
    </row>
    <row r="11" spans="1:13" x14ac:dyDescent="0.25">
      <c r="B11" s="36">
        <v>42804</v>
      </c>
      <c r="F11" s="10"/>
      <c r="L11" s="36">
        <v>42804</v>
      </c>
    </row>
    <row r="12" spans="1:13" x14ac:dyDescent="0.25">
      <c r="B12" s="7" t="s">
        <v>20</v>
      </c>
      <c r="F12" s="10"/>
      <c r="L12" s="7" t="s">
        <v>22</v>
      </c>
    </row>
    <row r="13" spans="1:13" x14ac:dyDescent="0.25">
      <c r="B13" s="7" t="s">
        <v>16</v>
      </c>
      <c r="C13" s="7" t="s">
        <v>17</v>
      </c>
      <c r="D13" s="7" t="s">
        <v>18</v>
      </c>
      <c r="E13" s="7" t="s">
        <v>19</v>
      </c>
      <c r="F13" s="10"/>
      <c r="L13" s="7" t="s">
        <v>18</v>
      </c>
      <c r="M13" s="7" t="s">
        <v>19</v>
      </c>
    </row>
    <row r="14" spans="1:13" x14ac:dyDescent="0.25">
      <c r="B14" s="10">
        <v>3.5563025007672873</v>
      </c>
      <c r="C14" s="10">
        <v>4.8061799739838875</v>
      </c>
      <c r="D14" s="10" t="s">
        <v>83</v>
      </c>
      <c r="E14" s="10">
        <v>5.8690730443560302</v>
      </c>
      <c r="F14" s="10"/>
      <c r="L14" s="10">
        <v>1.6020599913279623</v>
      </c>
      <c r="M14" s="10">
        <v>3.7296962438796153</v>
      </c>
    </row>
    <row r="15" spans="1:13" x14ac:dyDescent="0.25">
      <c r="B15" s="10">
        <v>2.9404067961403957</v>
      </c>
      <c r="C15" s="10">
        <v>4.1037902573827161</v>
      </c>
      <c r="D15" s="10" t="s">
        <v>83</v>
      </c>
      <c r="E15" s="10">
        <v>6.3009431193911869</v>
      </c>
      <c r="L15" s="10">
        <v>2.750392586458728</v>
      </c>
      <c r="M15" s="10">
        <v>6.1063600772089215</v>
      </c>
    </row>
    <row r="16" spans="1:13" x14ac:dyDescent="0.25">
      <c r="B16" s="10">
        <v>3.716003343634799</v>
      </c>
      <c r="C16" s="10">
        <v>4.4136846365269129</v>
      </c>
      <c r="D16" s="10">
        <v>1.6020599913279623</v>
      </c>
      <c r="E16" s="10">
        <v>2.1416506143517746</v>
      </c>
      <c r="L16" s="10">
        <v>2.8201413148483403</v>
      </c>
      <c r="M16" s="10">
        <v>5.7503925864587284</v>
      </c>
    </row>
    <row r="17" spans="1:13" x14ac:dyDescent="0.25">
      <c r="A17" s="12" t="s">
        <v>23</v>
      </c>
      <c r="B17" s="13">
        <f>AVERAGE(B14:B16)</f>
        <v>3.4042375468474941</v>
      </c>
      <c r="C17" s="13">
        <f t="shared" ref="C17" si="2">AVERAGE(C14:C16)</f>
        <v>4.4412182892978391</v>
      </c>
      <c r="D17" s="13">
        <f t="shared" ref="D17" si="3">AVERAGE(D14:D16)</f>
        <v>1.6020599913279623</v>
      </c>
      <c r="E17" s="13">
        <f t="shared" ref="E17" si="4">AVERAGE(E14:E16)</f>
        <v>4.7705555926996643</v>
      </c>
      <c r="K17" s="12" t="s">
        <v>23</v>
      </c>
      <c r="L17" s="13">
        <f>AVERAGE(L14:L16)</f>
        <v>2.3908646308783434</v>
      </c>
      <c r="M17" s="13">
        <f t="shared" ref="M17" si="5">AVERAGE(M14:M16)</f>
        <v>5.1954829691824216</v>
      </c>
    </row>
    <row r="18" spans="1:13" x14ac:dyDescent="0.25">
      <c r="A18" s="16" t="s">
        <v>24</v>
      </c>
      <c r="B18" s="34">
        <f>_xlfn.STDEV.S(B14:B16)</f>
        <v>0.40954891500195822</v>
      </c>
      <c r="C18" s="34">
        <f t="shared" ref="C18:E18" si="6">_xlfn.STDEV.S(C14:C16)</f>
        <v>0.35200341620920517</v>
      </c>
      <c r="D18" s="34" t="e">
        <f t="shared" si="6"/>
        <v>#DIV/0!</v>
      </c>
      <c r="E18" s="34">
        <f t="shared" si="6"/>
        <v>2.2869158225248358</v>
      </c>
      <c r="K18" s="16" t="s">
        <v>24</v>
      </c>
      <c r="L18" s="34">
        <f>_xlfn.STDEV.S(L14:L16)</f>
        <v>0.68401446681349454</v>
      </c>
      <c r="M18" s="34">
        <f t="shared" ref="M18" si="7">_xlfn.STDEV.S(M14:M16)</f>
        <v>1.2818253612225017</v>
      </c>
    </row>
    <row r="20" spans="1:13" x14ac:dyDescent="0.25">
      <c r="B20" s="36">
        <v>43147</v>
      </c>
      <c r="L20" s="36">
        <v>43140</v>
      </c>
    </row>
    <row r="21" spans="1:13" x14ac:dyDescent="0.25">
      <c r="B21" s="7" t="s">
        <v>20</v>
      </c>
      <c r="L21" s="7" t="s">
        <v>22</v>
      </c>
    </row>
    <row r="22" spans="1:13" x14ac:dyDescent="0.25">
      <c r="B22" s="7" t="s">
        <v>16</v>
      </c>
      <c r="C22" s="7" t="s">
        <v>17</v>
      </c>
      <c r="D22" s="7" t="s">
        <v>18</v>
      </c>
      <c r="E22" s="7" t="s">
        <v>19</v>
      </c>
      <c r="L22" s="7" t="s">
        <v>18</v>
      </c>
      <c r="M22" s="7" t="s">
        <v>19</v>
      </c>
    </row>
    <row r="23" spans="1:13" x14ac:dyDescent="0.25">
      <c r="B23" s="10">
        <v>4.0088504856120579</v>
      </c>
      <c r="C23" s="10">
        <v>4.6178046191828379</v>
      </c>
      <c r="D23" s="10">
        <v>2.2041199826559246</v>
      </c>
      <c r="E23" s="10">
        <v>5.0536049848239344</v>
      </c>
      <c r="L23" s="10" t="s">
        <v>83</v>
      </c>
      <c r="M23" s="10">
        <v>4.4165608009714585</v>
      </c>
    </row>
    <row r="24" spans="1:13" x14ac:dyDescent="0.25">
      <c r="B24" s="10">
        <v>3.4643617490263208</v>
      </c>
      <c r="C24" s="10">
        <v>4.1134802967662267</v>
      </c>
      <c r="D24" s="10">
        <v>2.8942256035117278</v>
      </c>
      <c r="E24" s="10">
        <v>4.8573324964312681</v>
      </c>
      <c r="L24" s="10" t="s">
        <v>83</v>
      </c>
      <c r="M24" s="10">
        <v>3.2200765648867806</v>
      </c>
    </row>
    <row r="25" spans="1:13" x14ac:dyDescent="0.25">
      <c r="B25" s="10">
        <v>2.4911356165197844</v>
      </c>
      <c r="C25" s="10">
        <v>4.3939426754704627</v>
      </c>
      <c r="D25" s="10" t="s">
        <v>83</v>
      </c>
      <c r="E25" s="10">
        <v>3.5897758955825938</v>
      </c>
      <c r="L25" s="10" t="s">
        <v>83</v>
      </c>
      <c r="M25" s="10">
        <v>4.5397353396176072</v>
      </c>
    </row>
    <row r="26" spans="1:13" x14ac:dyDescent="0.25">
      <c r="B26" s="10">
        <v>3.3133549112537031</v>
      </c>
      <c r="C26" s="10">
        <v>4.1863087330894784</v>
      </c>
      <c r="D26" s="10">
        <v>2.8201413148483403</v>
      </c>
      <c r="E26" s="10">
        <v>5.2426903348554692</v>
      </c>
      <c r="L26" s="10" t="s">
        <v>83</v>
      </c>
      <c r="M26" s="10" t="s">
        <v>83</v>
      </c>
    </row>
    <row r="27" spans="1:13" x14ac:dyDescent="0.25">
      <c r="B27" s="10">
        <v>3.2147146321908937</v>
      </c>
      <c r="C27" s="10">
        <v>4.2588881646369785</v>
      </c>
      <c r="D27" s="10">
        <v>1.7525749891599529</v>
      </c>
      <c r="E27" s="10">
        <v>3.0167118777434752</v>
      </c>
      <c r="L27" s="10" t="s">
        <v>83</v>
      </c>
      <c r="M27" s="10">
        <v>3.2301782579309242</v>
      </c>
    </row>
    <row r="28" spans="1:13" x14ac:dyDescent="0.25">
      <c r="A28" s="12" t="s">
        <v>23</v>
      </c>
      <c r="B28" s="13">
        <f>AVERAGE(B23:B27)</f>
        <v>3.2984834789205522</v>
      </c>
      <c r="C28" s="13">
        <f t="shared" ref="C28:E28" si="8">AVERAGE(C23:C27)</f>
        <v>4.314084897829197</v>
      </c>
      <c r="D28" s="13">
        <f t="shared" si="8"/>
        <v>2.4177654725439863</v>
      </c>
      <c r="E28" s="13">
        <f t="shared" si="8"/>
        <v>4.3520231178873487</v>
      </c>
      <c r="K28" s="12" t="s">
        <v>23</v>
      </c>
      <c r="L28" s="13" t="e">
        <f>AVERAGE(L23:L27)</f>
        <v>#DIV/0!</v>
      </c>
      <c r="M28" s="13">
        <f t="shared" ref="M28" si="9">AVERAGE(M23:M27)</f>
        <v>3.8516377408516922</v>
      </c>
    </row>
    <row r="29" spans="1:13" x14ac:dyDescent="0.25">
      <c r="A29" s="16" t="s">
        <v>24</v>
      </c>
      <c r="B29" s="34">
        <f>_xlfn.STDEV.S(B23:B27)</f>
        <v>0.54570730130590051</v>
      </c>
      <c r="C29" s="34">
        <f t="shared" ref="C29:E29" si="10">_xlfn.STDEV.S(C23:C27)</f>
        <v>0.19889605789661419</v>
      </c>
      <c r="D29" s="34">
        <f t="shared" si="10"/>
        <v>0.54069194846546187</v>
      </c>
      <c r="E29" s="34">
        <f t="shared" si="10"/>
        <v>0.98804348479789583</v>
      </c>
      <c r="K29" s="16" t="s">
        <v>24</v>
      </c>
      <c r="L29" s="34" t="e">
        <f>_xlfn.STDEV.S(L23:L27)</f>
        <v>#DIV/0!</v>
      </c>
      <c r="M29" s="34">
        <f t="shared" ref="M29" si="11">_xlfn.STDEV.S(M23:M27)</f>
        <v>0.72518911951316478</v>
      </c>
    </row>
    <row r="32" spans="1:13" x14ac:dyDescent="0.25">
      <c r="B32" s="7" t="s">
        <v>77</v>
      </c>
    </row>
    <row r="33" spans="1:13" x14ac:dyDescent="0.25">
      <c r="B33" s="7" t="s">
        <v>12</v>
      </c>
      <c r="L33" s="14" t="s">
        <v>21</v>
      </c>
    </row>
    <row r="34" spans="1:13" x14ac:dyDescent="0.25">
      <c r="B34" s="7" t="s">
        <v>16</v>
      </c>
      <c r="C34" s="7" t="s">
        <v>17</v>
      </c>
      <c r="D34" s="7" t="s">
        <v>18</v>
      </c>
      <c r="E34" s="7" t="s">
        <v>19</v>
      </c>
      <c r="L34" s="7" t="s">
        <v>18</v>
      </c>
      <c r="M34" s="7" t="s">
        <v>19</v>
      </c>
    </row>
    <row r="35" spans="1:13" x14ac:dyDescent="0.25">
      <c r="B35" s="10">
        <v>3.5563025007672873</v>
      </c>
      <c r="C35" s="10">
        <v>4.8061799739838875</v>
      </c>
      <c r="D35" s="11">
        <v>1.6</v>
      </c>
      <c r="E35" s="10">
        <v>5.8690730443560302</v>
      </c>
      <c r="L35" s="10">
        <v>1.6020599913279623</v>
      </c>
      <c r="M35" s="10">
        <v>3.7296962438796153</v>
      </c>
    </row>
    <row r="36" spans="1:13" x14ac:dyDescent="0.25">
      <c r="B36" s="10">
        <v>2.9404067961403957</v>
      </c>
      <c r="C36" s="10">
        <v>4.1037902573827161</v>
      </c>
      <c r="D36" s="11">
        <v>1.6</v>
      </c>
      <c r="E36" s="10">
        <v>6.3009431193911869</v>
      </c>
      <c r="L36" s="10">
        <v>2.750392586458728</v>
      </c>
      <c r="M36" s="10">
        <v>6.1063600772089215</v>
      </c>
    </row>
    <row r="37" spans="1:13" x14ac:dyDescent="0.25">
      <c r="B37" s="10">
        <v>3.716003343634799</v>
      </c>
      <c r="C37" s="10">
        <v>4.4136846365269129</v>
      </c>
      <c r="D37" s="10">
        <v>1.6020599913279623</v>
      </c>
      <c r="E37" s="10">
        <v>2.1416506143517746</v>
      </c>
      <c r="L37" s="10">
        <v>2.8201413148483403</v>
      </c>
      <c r="M37" s="10">
        <v>5.7503925864587284</v>
      </c>
    </row>
    <row r="38" spans="1:13" x14ac:dyDescent="0.25">
      <c r="B38" s="10">
        <v>4.0088504856120579</v>
      </c>
      <c r="C38" s="10">
        <v>4.6178046191828379</v>
      </c>
      <c r="D38" s="10">
        <v>2.2041199826559246</v>
      </c>
      <c r="E38" s="10">
        <v>5.0536049848239344</v>
      </c>
      <c r="L38" s="11">
        <v>1.6</v>
      </c>
      <c r="M38" s="10">
        <v>4.4165608009714585</v>
      </c>
    </row>
    <row r="39" spans="1:13" x14ac:dyDescent="0.25">
      <c r="B39" s="10">
        <v>3.4643617490263208</v>
      </c>
      <c r="C39" s="10">
        <v>4.1134802967662267</v>
      </c>
      <c r="D39" s="10">
        <v>2.8942256035117278</v>
      </c>
      <c r="E39" s="10">
        <v>4.8573324964312681</v>
      </c>
      <c r="L39" s="11">
        <v>1.6</v>
      </c>
      <c r="M39" s="10">
        <v>3.2200765648867806</v>
      </c>
    </row>
    <row r="40" spans="1:13" x14ac:dyDescent="0.25">
      <c r="B40" s="10">
        <v>2.4911356165197844</v>
      </c>
      <c r="C40" s="10">
        <v>4.3939426754704627</v>
      </c>
      <c r="D40" s="11">
        <v>1.6</v>
      </c>
      <c r="E40" s="10">
        <v>3.5897758955825938</v>
      </c>
      <c r="L40" s="11">
        <v>1.6</v>
      </c>
      <c r="M40" s="10">
        <v>4.5397353396176072</v>
      </c>
    </row>
    <row r="41" spans="1:13" x14ac:dyDescent="0.25">
      <c r="B41" s="10">
        <v>3.3133549112537031</v>
      </c>
      <c r="C41" s="10">
        <v>4.1863087330894784</v>
      </c>
      <c r="D41" s="10">
        <v>2.8201413148483403</v>
      </c>
      <c r="E41" s="10">
        <v>5.2426903348554692</v>
      </c>
      <c r="L41" s="11">
        <v>1.6</v>
      </c>
      <c r="M41" s="11">
        <v>1.6</v>
      </c>
    </row>
    <row r="42" spans="1:13" x14ac:dyDescent="0.25">
      <c r="B42" s="10">
        <v>3.2147146321908937</v>
      </c>
      <c r="C42" s="10">
        <v>4.2588881646369785</v>
      </c>
      <c r="D42" s="10">
        <v>1.7525749891599529</v>
      </c>
      <c r="E42" s="10">
        <v>3.0167118777434752</v>
      </c>
      <c r="L42" s="11">
        <v>1.6</v>
      </c>
      <c r="M42" s="10">
        <v>3.2301782579309242</v>
      </c>
    </row>
    <row r="43" spans="1:13" x14ac:dyDescent="0.25">
      <c r="A43" s="12" t="s">
        <v>23</v>
      </c>
      <c r="B43" s="13">
        <f>AVERAGE(B35:B42)</f>
        <v>3.3381412543931557</v>
      </c>
      <c r="C43" s="13">
        <f t="shared" ref="C43:E43" si="12">AVERAGE(C35:C42)</f>
        <v>4.3617599196299377</v>
      </c>
      <c r="D43" s="13">
        <f t="shared" si="12"/>
        <v>2.0091402351879886</v>
      </c>
      <c r="E43" s="13">
        <f t="shared" si="12"/>
        <v>4.5089727959419665</v>
      </c>
      <c r="K43" s="12" t="s">
        <v>23</v>
      </c>
      <c r="L43" s="13">
        <f>AVERAGE(L35:L42)</f>
        <v>1.8965742365793785</v>
      </c>
      <c r="M43" s="13">
        <f t="shared" ref="M43" si="13">AVERAGE(M35:M42)</f>
        <v>4.0741249838692548</v>
      </c>
    </row>
    <row r="44" spans="1:13" x14ac:dyDescent="0.25">
      <c r="A44" s="16" t="s">
        <v>24</v>
      </c>
      <c r="B44" s="34">
        <f>_xlfn.STDEV.S(B35:B42)</f>
        <v>0.47020000573595405</v>
      </c>
      <c r="C44" s="34">
        <f t="shared" ref="C44:E44" si="14">_xlfn.STDEV.S(C35:C42)</f>
        <v>0.24967316163408035</v>
      </c>
      <c r="D44" s="34">
        <f t="shared" si="14"/>
        <v>0.56224590564644006</v>
      </c>
      <c r="E44" s="34">
        <f t="shared" si="14"/>
        <v>1.4488088879155268</v>
      </c>
      <c r="K44" s="16" t="s">
        <v>24</v>
      </c>
      <c r="L44" s="34">
        <f>_xlfn.STDEV.S(L35:L42)</f>
        <v>0.54883017830423386</v>
      </c>
      <c r="M44" s="34">
        <f t="shared" ref="M44" si="15">_xlfn.STDEV.S(M35:M42)</f>
        <v>1.4616760542625755</v>
      </c>
    </row>
    <row r="64" spans="2:7" x14ac:dyDescent="0.25">
      <c r="B64" t="s">
        <v>46</v>
      </c>
      <c r="C64">
        <v>0.05</v>
      </c>
      <c r="D64" t="s">
        <v>82</v>
      </c>
      <c r="G64">
        <v>1.6951999999999998E-2</v>
      </c>
    </row>
    <row r="66" spans="2:17" x14ac:dyDescent="0.25">
      <c r="B66" s="7" t="s">
        <v>12</v>
      </c>
      <c r="O66" s="14" t="s">
        <v>21</v>
      </c>
    </row>
    <row r="67" spans="2:17" x14ac:dyDescent="0.25">
      <c r="B67" t="s">
        <v>55</v>
      </c>
      <c r="H67" s="9" t="s">
        <v>55</v>
      </c>
      <c r="I67" s="9"/>
      <c r="J67" s="9"/>
      <c r="K67" s="9"/>
      <c r="L67" s="9"/>
      <c r="M67" s="9"/>
      <c r="N67" s="9"/>
      <c r="O67" s="9" t="s">
        <v>55</v>
      </c>
      <c r="P67" s="9"/>
      <c r="Q67" s="9"/>
    </row>
    <row r="68" spans="2:17" x14ac:dyDescent="0.25"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2:17" x14ac:dyDescent="0.25">
      <c r="C69" s="12" t="str">
        <f>B34</f>
        <v>cip</v>
      </c>
      <c r="D69" s="12" t="str">
        <f>C34</f>
        <v>cip+gal</v>
      </c>
      <c r="H69" s="9"/>
      <c r="I69" s="39" t="str">
        <f>D34</f>
        <v>ami</v>
      </c>
      <c r="J69" s="39" t="str">
        <f>E34</f>
        <v>ami+gal</v>
      </c>
      <c r="K69" s="9"/>
      <c r="L69" s="9"/>
      <c r="M69" s="9"/>
      <c r="N69" s="9"/>
      <c r="O69" s="9"/>
      <c r="P69" s="39" t="str">
        <f>L34</f>
        <v>ami</v>
      </c>
      <c r="Q69" s="39" t="str">
        <f>M34</f>
        <v>ami+gal</v>
      </c>
    </row>
    <row r="70" spans="2:17" x14ac:dyDescent="0.25">
      <c r="B70" t="s">
        <v>56</v>
      </c>
      <c r="C70" s="21">
        <f>COUNT(B35:B42)</f>
        <v>8</v>
      </c>
      <c r="D70" s="22">
        <f>COUNT(C35:C42)</f>
        <v>8</v>
      </c>
      <c r="H70" s="33" t="s">
        <v>56</v>
      </c>
      <c r="I70" s="49">
        <f>COUNT(D35:D42)</f>
        <v>8</v>
      </c>
      <c r="J70" s="50">
        <f>COUNT(E35:E42)</f>
        <v>8</v>
      </c>
      <c r="K70" s="33"/>
      <c r="L70" s="33"/>
      <c r="M70" s="9"/>
      <c r="N70" s="9"/>
      <c r="O70" s="9" t="s">
        <v>56</v>
      </c>
      <c r="P70" s="21">
        <f>COUNT(L35:L42)</f>
        <v>8</v>
      </c>
      <c r="Q70" s="22">
        <f>COUNT(M35:M42)</f>
        <v>8</v>
      </c>
    </row>
    <row r="71" spans="2:17" x14ac:dyDescent="0.25">
      <c r="B71" t="s">
        <v>57</v>
      </c>
      <c r="C71" s="45">
        <f>MEDIAN(B35:B42)</f>
        <v>3.3888583301400121</v>
      </c>
      <c r="D71" s="46">
        <f>MEDIAN(C35:C42)</f>
        <v>4.3264154200537206</v>
      </c>
      <c r="H71" s="9" t="s">
        <v>57</v>
      </c>
      <c r="I71" s="45">
        <f>MEDIAN(D35:D42)</f>
        <v>1.6773174902439576</v>
      </c>
      <c r="J71" s="46">
        <f>MEDIAN(E35:E42)</f>
        <v>4.9554687406276017</v>
      </c>
      <c r="K71" s="9"/>
      <c r="L71" s="9"/>
      <c r="M71" s="9"/>
      <c r="N71" s="9"/>
      <c r="O71" s="9" t="s">
        <v>57</v>
      </c>
      <c r="P71" s="45">
        <f>MEDIAN(L35:L42)</f>
        <v>1.6</v>
      </c>
      <c r="Q71" s="46">
        <f>MEDIAN(M35:M42)</f>
        <v>4.0731285224255371</v>
      </c>
    </row>
    <row r="72" spans="2:17" x14ac:dyDescent="0.25">
      <c r="B72" t="s">
        <v>58</v>
      </c>
      <c r="C72" s="23">
        <f>[1]!RANK_SUM(B35:B42,C35:C42,1)</f>
        <v>36</v>
      </c>
      <c r="D72" s="24">
        <f>[1]!RANK_SUM(C35:C42,B35:B42,1)</f>
        <v>100</v>
      </c>
      <c r="H72" s="9" t="s">
        <v>58</v>
      </c>
      <c r="I72" s="23">
        <f>[1]!RANK_SUM(D35:D42,E35:E42,1)</f>
        <v>39</v>
      </c>
      <c r="J72" s="46">
        <f>[1]!RANK_SUM(E35:E42,D35:D42,1)</f>
        <v>97</v>
      </c>
      <c r="K72" s="9"/>
      <c r="L72" s="9"/>
      <c r="M72" s="9"/>
      <c r="N72" s="9"/>
      <c r="O72" s="9" t="s">
        <v>58</v>
      </c>
      <c r="P72" s="23">
        <f>[1]!RANK_SUM(L35:L42,M35:M42,1)</f>
        <v>41.5</v>
      </c>
      <c r="Q72" s="24">
        <f>[1]!RANK_SUM(M35:M42,L35:L42,1)</f>
        <v>94.5</v>
      </c>
    </row>
    <row r="73" spans="2:17" x14ac:dyDescent="0.25">
      <c r="B73" t="s">
        <v>59</v>
      </c>
      <c r="C73" s="25">
        <f>C70*D70+C70*(C70+1)/2-C72</f>
        <v>64</v>
      </c>
      <c r="D73" s="26">
        <f>C70*D70+D70*(D70+1)/2-D72</f>
        <v>0</v>
      </c>
      <c r="H73" s="9" t="s">
        <v>59</v>
      </c>
      <c r="I73" s="25">
        <f>I70*J70+I70*(I70+1)/2-I72</f>
        <v>61</v>
      </c>
      <c r="J73" s="26">
        <f>I70*J70+J70*(J70+1)/2-J72</f>
        <v>3</v>
      </c>
      <c r="K73" s="9"/>
      <c r="L73" s="9"/>
      <c r="M73" s="9"/>
      <c r="N73" s="9"/>
      <c r="O73" s="9" t="s">
        <v>59</v>
      </c>
      <c r="P73" s="25">
        <f>P70*Q70+P70*(P70+1)/2-P72</f>
        <v>58.5</v>
      </c>
      <c r="Q73" s="26">
        <f>P70*Q70+Q70*(Q70+1)/2-Q72</f>
        <v>5.5</v>
      </c>
    </row>
    <row r="74" spans="2:17" x14ac:dyDescent="0.25"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2:17" x14ac:dyDescent="0.25">
      <c r="C75" s="27" t="s">
        <v>60</v>
      </c>
      <c r="D75" s="27" t="s">
        <v>61</v>
      </c>
      <c r="H75" s="9"/>
      <c r="I75" s="31" t="s">
        <v>60</v>
      </c>
      <c r="J75" s="31" t="s">
        <v>61</v>
      </c>
      <c r="K75" s="9"/>
      <c r="L75" s="9"/>
      <c r="M75" s="9"/>
      <c r="N75" s="9"/>
      <c r="O75" s="9"/>
      <c r="P75" s="31" t="s">
        <v>60</v>
      </c>
      <c r="Q75" s="31" t="s">
        <v>61</v>
      </c>
    </row>
    <row r="76" spans="2:17" x14ac:dyDescent="0.25">
      <c r="B76" t="s">
        <v>62</v>
      </c>
      <c r="C76" s="28">
        <v>1.6951999999999998E-2</v>
      </c>
      <c r="H76" s="33" t="s">
        <v>62</v>
      </c>
      <c r="I76" s="51">
        <v>1.6951999999999998E-2</v>
      </c>
      <c r="J76" s="33"/>
      <c r="K76" s="33"/>
      <c r="L76" s="33"/>
      <c r="M76" s="33"/>
      <c r="N76" s="33"/>
      <c r="O76" s="33" t="s">
        <v>62</v>
      </c>
      <c r="P76" s="51">
        <v>1.6951999999999998E-2</v>
      </c>
      <c r="Q76" s="33"/>
    </row>
    <row r="77" spans="2:17" x14ac:dyDescent="0.25">
      <c r="B77" t="s">
        <v>59</v>
      </c>
      <c r="C77" s="29">
        <f>MIN(C73,D73)</f>
        <v>0</v>
      </c>
      <c r="H77" s="9" t="s">
        <v>59</v>
      </c>
      <c r="I77" s="29">
        <f>MIN(I73,J73)</f>
        <v>3</v>
      </c>
      <c r="J77" s="9"/>
      <c r="K77" s="9"/>
      <c r="L77" s="9"/>
      <c r="M77" s="9"/>
      <c r="N77" s="9"/>
      <c r="O77" s="9" t="s">
        <v>59</v>
      </c>
      <c r="P77" s="55">
        <f>MIN(P73,Q73)</f>
        <v>5.5</v>
      </c>
      <c r="Q77" s="9"/>
    </row>
    <row r="78" spans="2:17" x14ac:dyDescent="0.25">
      <c r="B78" t="s">
        <v>23</v>
      </c>
      <c r="C78" s="29">
        <f>C70*D70/2</f>
        <v>32</v>
      </c>
      <c r="H78" s="9" t="s">
        <v>23</v>
      </c>
      <c r="I78" s="29">
        <f>I70*J70/2</f>
        <v>32</v>
      </c>
      <c r="J78" s="9"/>
      <c r="K78" s="9"/>
      <c r="L78" s="9"/>
      <c r="M78" s="9"/>
      <c r="N78" s="9"/>
      <c r="O78" s="9" t="s">
        <v>23</v>
      </c>
      <c r="P78" s="55">
        <f>P70*Q70/2</f>
        <v>32</v>
      </c>
      <c r="Q78" s="9"/>
    </row>
    <row r="79" spans="2:17" x14ac:dyDescent="0.25">
      <c r="B79" t="s">
        <v>63</v>
      </c>
      <c r="C79" s="29">
        <f>SQRT(C78*(C70+D70+1)/6*(1-[1]!TiesCorrection(B35:B42,C35:C42,2)/((C70+D70)^3-C70-D70)))</f>
        <v>9.5219045713904666</v>
      </c>
      <c r="D79" t="s">
        <v>64</v>
      </c>
      <c r="H79" s="9" t="s">
        <v>63</v>
      </c>
      <c r="I79" s="29">
        <f>SQRT(I78*(I70+J70+1)/6*(1-[1]!TiesCorrection(D35:D42,E35:E42,2)/((I70+J70)^3-I70-J70)))</f>
        <v>9.4938576634228795</v>
      </c>
      <c r="J79" s="9" t="s">
        <v>64</v>
      </c>
      <c r="K79" s="9"/>
      <c r="L79" s="9"/>
      <c r="M79" s="9"/>
      <c r="N79" s="9"/>
      <c r="O79" s="9" t="s">
        <v>63</v>
      </c>
      <c r="P79" s="29">
        <f>SQRT(P78*(P70+Q70+1)/6*(1-[1]!TiesCorrection(L35:L42,M35:M42,2)/((P70+Q70)^3-P70-Q70)))</f>
        <v>9.2736184954957039</v>
      </c>
      <c r="Q79" s="9" t="s">
        <v>64</v>
      </c>
    </row>
    <row r="80" spans="2:17" x14ac:dyDescent="0.25">
      <c r="B80" t="s">
        <v>65</v>
      </c>
      <c r="C80" s="29">
        <f>ABS(ABS(C77-C78)-1/2)/C79</f>
        <v>3.308161698516173</v>
      </c>
      <c r="H80" s="9" t="s">
        <v>65</v>
      </c>
      <c r="I80" s="29">
        <f>ABS(ABS(I77-I78)-1/2)/I79</f>
        <v>3.001940940172545</v>
      </c>
      <c r="J80" s="9"/>
      <c r="K80" s="9"/>
      <c r="L80" s="9"/>
      <c r="M80" s="9"/>
      <c r="N80" s="9"/>
      <c r="O80" s="9" t="s">
        <v>65</v>
      </c>
      <c r="P80" s="29">
        <f>ABS(ABS(P77-P78)-1/2)/P79</f>
        <v>2.8036521032893988</v>
      </c>
      <c r="Q80" s="9"/>
    </row>
    <row r="81" spans="2:17" x14ac:dyDescent="0.25">
      <c r="B81" t="s">
        <v>51</v>
      </c>
      <c r="C81" s="29">
        <f>C80/SQRT(C70+D70)</f>
        <v>0.82704042462904326</v>
      </c>
      <c r="H81" s="33" t="s">
        <v>51</v>
      </c>
      <c r="I81" s="52">
        <f>I80/SQRT(I70+J70)</f>
        <v>0.75048523504313625</v>
      </c>
      <c r="J81" s="33"/>
      <c r="K81" s="33"/>
      <c r="L81" s="33"/>
      <c r="M81" s="33"/>
      <c r="N81" s="33"/>
      <c r="O81" s="33" t="s">
        <v>51</v>
      </c>
      <c r="P81" s="52">
        <f>P80/SQRT(P70+Q70)</f>
        <v>0.70091302582234971</v>
      </c>
      <c r="Q81" s="33"/>
    </row>
    <row r="82" spans="2:17" x14ac:dyDescent="0.25">
      <c r="B82" t="s">
        <v>66</v>
      </c>
      <c r="C82" s="28">
        <f>C78+C79*NORMSINV(C76)-1/2</f>
        <v>11.302025623076549</v>
      </c>
      <c r="D82" s="22">
        <f>C78+C79*NORMSINV(C76/2)-1/2</f>
        <v>8.7640994400098648</v>
      </c>
      <c r="H82" s="9" t="s">
        <v>66</v>
      </c>
      <c r="I82" s="28">
        <f>I78+I79*NORMSINV(I76)-1/2</f>
        <v>11.36151904944246</v>
      </c>
      <c r="J82" s="22">
        <f>I78+I79*NORMSINV(I76/2)-1/2</f>
        <v>8.831068364743917</v>
      </c>
      <c r="K82" s="9"/>
      <c r="L82" s="9"/>
      <c r="M82" s="9"/>
      <c r="N82" s="9"/>
      <c r="O82" s="9" t="s">
        <v>66</v>
      </c>
      <c r="P82" s="56">
        <f>P78+P79*NORMSINV(P76)-1/2</f>
        <v>11.828692925974856</v>
      </c>
      <c r="Q82" s="22">
        <f>P78+P79*NORMSINV(P76/2)-1/2</f>
        <v>9.3569438116006616</v>
      </c>
    </row>
    <row r="83" spans="2:17" x14ac:dyDescent="0.25">
      <c r="B83" t="s">
        <v>46</v>
      </c>
      <c r="C83" s="29">
        <f>1-NORMSDIST(C80)</f>
        <v>4.6955284955862986E-4</v>
      </c>
      <c r="D83" s="53">
        <f>2*C83</f>
        <v>9.3910569911725972E-4</v>
      </c>
      <c r="H83" s="9" t="s">
        <v>46</v>
      </c>
      <c r="I83" s="29">
        <f>1-NORMSDIST(I80)</f>
        <v>1.3413210796613395E-3</v>
      </c>
      <c r="J83" s="53">
        <f>2*I83</f>
        <v>2.682642159322679E-3</v>
      </c>
      <c r="K83" s="9"/>
      <c r="L83" s="9"/>
      <c r="M83" s="9"/>
      <c r="N83" s="9"/>
      <c r="O83" s="9" t="s">
        <v>46</v>
      </c>
      <c r="P83" s="55">
        <f>1-NORMSDIST(P80)</f>
        <v>2.526369650149296E-3</v>
      </c>
      <c r="Q83" s="53">
        <f>2*P83</f>
        <v>5.0527393002985921E-3</v>
      </c>
    </row>
    <row r="84" spans="2:17" x14ac:dyDescent="0.25">
      <c r="B84" s="12" t="s">
        <v>67</v>
      </c>
      <c r="C84" s="30" t="str">
        <f>IF(C83&lt;C76,"yes","no")</f>
        <v>yes</v>
      </c>
      <c r="D84" s="48" t="str">
        <f>IF(D83&lt;C76,"yes","no")</f>
        <v>yes</v>
      </c>
      <c r="H84" s="39" t="s">
        <v>67</v>
      </c>
      <c r="I84" s="30" t="str">
        <f>IF(I83&lt;I76,"yes","no")</f>
        <v>yes</v>
      </c>
      <c r="J84" s="48" t="str">
        <f>IF(J83&lt;I76,"yes","no")</f>
        <v>yes</v>
      </c>
      <c r="K84" s="9"/>
      <c r="L84" s="9"/>
      <c r="M84" s="9"/>
      <c r="N84" s="9"/>
      <c r="O84" s="39" t="s">
        <v>67</v>
      </c>
      <c r="P84" s="30" t="str">
        <f>IF(P83&lt;P76,"yes","no")</f>
        <v>yes</v>
      </c>
      <c r="Q84" s="48" t="str">
        <f>IF(Q83&lt;P76,"yes","no")</f>
        <v>yes</v>
      </c>
    </row>
    <row r="86" spans="2:17" x14ac:dyDescent="0.25">
      <c r="B86" t="s">
        <v>66</v>
      </c>
      <c r="C86" s="28">
        <f>[1]!MCRIT(C70,D70,C76,1)</f>
        <v>11.73399402233758</v>
      </c>
      <c r="D86" s="28">
        <f>[1]!MCRIT(C70,D70,C76,2)</f>
        <v>8.6403964134025486</v>
      </c>
      <c r="H86" t="s">
        <v>66</v>
      </c>
      <c r="I86" s="28">
        <f>[1]!MCRIT(I70,J70,I76,1)</f>
        <v>11.73399402233758</v>
      </c>
      <c r="J86" s="28">
        <f>[1]!MCRIT(I70,J70,I76,2)</f>
        <v>8.6403964134025486</v>
      </c>
      <c r="O86" t="s">
        <v>66</v>
      </c>
      <c r="P86" s="28">
        <f>[1]!MCRIT(P70,Q70,P76,1)</f>
        <v>11.73399402233758</v>
      </c>
      <c r="Q86" s="28">
        <f>[1]!MCRIT(P70,Q70,P76,2)</f>
        <v>8.6403964134025486</v>
      </c>
    </row>
    <row r="87" spans="2:17" x14ac:dyDescent="0.25">
      <c r="B87" s="12" t="s">
        <v>68</v>
      </c>
      <c r="C87" s="30" t="str">
        <f>IF(ISNUMBER(C86),IF(C77&lt;C86,"yes","no"),"no")</f>
        <v>yes</v>
      </c>
      <c r="D87" s="47" t="str">
        <f>IF(ISNUMBER(D86),IF(C77&lt;D86,"yes","no"),"no")</f>
        <v>yes</v>
      </c>
      <c r="H87" s="12" t="s">
        <v>68</v>
      </c>
      <c r="I87" s="30" t="str">
        <f>IF(ISNUMBER(I86),IF(I77&lt;I86,"yes","no"),"no")</f>
        <v>yes</v>
      </c>
      <c r="J87" s="47" t="str">
        <f>IF(ISNUMBER(J86),IF(I77&lt;J86,"yes","no"),"no")</f>
        <v>yes</v>
      </c>
      <c r="O87" s="12" t="s">
        <v>68</v>
      </c>
      <c r="P87" s="30" t="str">
        <f>IF(ISNUMBER(P86),IF(P77&lt;P86,"yes","no"),"no")</f>
        <v>yes</v>
      </c>
      <c r="Q87" s="47" t="str">
        <f>IF(ISNUMBER(Q86),IF(P77&lt;Q86,"yes","no"),"no")</f>
        <v>yes</v>
      </c>
    </row>
    <row r="89" spans="2:17" x14ac:dyDescent="0.25">
      <c r="B89" t="s">
        <v>46</v>
      </c>
      <c r="C89" s="28">
        <f>[1]!MANN_EXACT(B35:B42,C35:C42,1)</f>
        <v>7.7700077700077714E-5</v>
      </c>
      <c r="D89" s="54">
        <f>2*C89</f>
        <v>1.5540015540015543E-4</v>
      </c>
      <c r="H89" t="s">
        <v>46</v>
      </c>
      <c r="I89" s="28">
        <f>[1]!MANN_EXACT(D35:D42,E35:E42,1)</f>
        <v>5.4390054390054401E-4</v>
      </c>
      <c r="J89" s="54">
        <f>2*I89</f>
        <v>1.087801087801088E-3</v>
      </c>
      <c r="O89" t="s">
        <v>46</v>
      </c>
      <c r="P89" s="28">
        <f>[1]!MANN_EXACT(L35:L42,M35:M42,1)</f>
        <v>2.3310023310023314E-3</v>
      </c>
      <c r="Q89" s="54">
        <f>2*P89</f>
        <v>4.6620046620046629E-3</v>
      </c>
    </row>
    <row r="90" spans="2:17" x14ac:dyDescent="0.25">
      <c r="B90" s="12" t="s">
        <v>69</v>
      </c>
      <c r="C90" s="30" t="str">
        <f>IF(C89&lt;C76,"yes","no")</f>
        <v>yes</v>
      </c>
      <c r="D90" s="47" t="str">
        <f>IF(D89&lt;C76,"yes","no")</f>
        <v>yes</v>
      </c>
      <c r="H90" s="12" t="s">
        <v>69</v>
      </c>
      <c r="I90" s="30" t="str">
        <f>IF(I89&lt;I76,"yes","no")</f>
        <v>yes</v>
      </c>
      <c r="J90" s="47" t="str">
        <f>IF(J89&lt;I76,"yes","no")</f>
        <v>yes</v>
      </c>
      <c r="O90" s="12" t="s">
        <v>69</v>
      </c>
      <c r="P90" s="30" t="str">
        <f>IF(P89&lt;P76,"yes","no")</f>
        <v>yes</v>
      </c>
      <c r="Q90" s="47" t="str">
        <f>IF(Q89&lt;P76,"yes","no")</f>
        <v>yes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Рис 1А</vt:lpstr>
      <vt:lpstr>Рис 1Б</vt:lpstr>
      <vt:lpstr>Рис 1В</vt:lpstr>
      <vt:lpstr>Рис 1Г</vt:lpstr>
      <vt:lpstr>monosaccharides</vt:lpstr>
      <vt:lpstr>Рис 2Б</vt:lpstr>
      <vt:lpstr>Рис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grish_000</dc:creator>
  <cp:lastModifiedBy>Anna</cp:lastModifiedBy>
  <dcterms:created xsi:type="dcterms:W3CDTF">2019-01-16T12:58:12Z</dcterms:created>
  <dcterms:modified xsi:type="dcterms:W3CDTF">2019-01-21T12:20:43Z</dcterms:modified>
</cp:coreProperties>
</file>